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ies" sheetId="1" r:id="rId3"/>
    <sheet state="visible" name="Dropdowns" sheetId="2" r:id="rId4"/>
    <sheet state="visible" name="Data Processing" sheetId="3" r:id="rId5"/>
    <sheet state="visible" name="Issues" sheetId="4" r:id="rId6"/>
    <sheet state="visible" name="Charts" sheetId="5" r:id="rId7"/>
    <sheet state="visible" name="Sheet7" sheetId="6" r:id="rId8"/>
  </sheets>
  <definedNames>
    <definedName name="market_ratings_sums">'Data Entries'!$EO$3:$EO$274</definedName>
    <definedName name="market_sizes">'Data Entries'!$AI$3:$AI$274</definedName>
    <definedName name="discount_rates">'Data Entries'!$V$3:$V$274</definedName>
    <definedName name="industry_experiences">'Data Entries'!$DX$3:$DX$274</definedName>
    <definedName name="valuation_caps_after_discount">'Data Entries'!$W$2:$W$274</definedName>
    <definedName name="interest_rates">'Data Entries'!$S$3:$S$274</definedName>
    <definedName name="performance_ratings_sums">'Data Entries'!$FW$3:$FW$274</definedName>
    <definedName name="valuations">'Data Entries'!$T$3:$T$274</definedName>
    <definedName name="previous_startups">'Data Entries'!$DY$3:$DY$274</definedName>
    <definedName name="capital_efficiencies">#REF!</definedName>
    <definedName name="team_ratings_sums">'Data Entries'!$EV$3:$EV$274</definedName>
    <definedName name="return_mutiples">'Data Entries'!$R$3:$R$274</definedName>
    <definedName name="valuation_caps">'Data Entries'!$U$3:$U$274</definedName>
    <definedName name="revenues">'Data Entries'!$AW$3:$AW$274</definedName>
    <definedName name="exits">'Data Entries'!$DZ$3:$DZ$274</definedName>
    <definedName name="market_growth_rates">'Data Entries'!$AK$3:$AK$274</definedName>
    <definedName name="ratings_sums">'Data Entries'!$GK$3:$GK$274</definedName>
    <definedName name="prior_rounds_amounts">'Data Entries'!$AZ$3:$AZ$274</definedName>
    <definedName hidden="1" localSheetId="0" name="_xlnm._FilterDatabase">'Data Entries'!$GL$2:$GL$274</definedName>
    <definedName hidden="1" localSheetId="0" name="Z_C0BB2DE2_9FCE_4050_8CAB_E7ABE1D95DDB_.wvu.FilterData">'Data Entries'!$A$2:$BV$274</definedName>
  </definedNames>
  <calcPr/>
  <customWorkbookViews>
    <customWorkbookView activeSheetId="0" maximized="1" tabRatio="600" windowHeight="0" windowWidth="0" guid="{C0BB2DE2-9FCE-4050-8CAB-E7ABE1D95DDB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Usually linked in the listing page on the platform. If not, please go to this link and enter the CIK number in FAST SEARCH 
https://www.sec.gov/edgar/searchedgar/companysearch.html
Then click on the Blue Documents link in the latest (top) line in the table, 
Then click on the latest (top) primary_doc.html
That's the company's filing, past that url here
	-Ahmad Takatkah</t>
      </text>
    </comment>
    <comment authorId="0" ref="BV2">
      <text>
        <t xml:space="preserve">Yes / No
If the founder went to any of the top 100 universities
	-Ahmad Takatkah</t>
      </text>
    </comment>
    <comment authorId="0" ref="CB2">
      <text>
        <t xml:space="preserve">Yes / No
If the founder went to any of the top 100 universities
	-Ahmad Takatkah</t>
      </text>
    </comment>
    <comment authorId="0" ref="CH2">
      <text>
        <t xml:space="preserve">Yes / No
If the founder went to any of the top 100 universities
	-Ahmad Takatkah</t>
      </text>
    </comment>
    <comment authorId="0" ref="CN2">
      <text>
        <t xml:space="preserve">Yes / No
If the founder went to any of the top 100 universities
	-Ahmad Takatkah</t>
      </text>
    </comment>
    <comment authorId="0" ref="CM2">
      <text>
        <t xml:space="preserve">You can estimate the age based on the bachelor's degree graduation year (= 2020 - GradYear + 22)
	-Ahmad Takatkah</t>
      </text>
    </comment>
    <comment authorId="0" ref="CG2">
      <text>
        <t xml:space="preserve">You can estimate the age based on the bachelor's degree graduation year (= 2020 - GradYear + 22)
	-Ahmad Takatkah</t>
      </text>
    </comment>
    <comment authorId="0" ref="CA2">
      <text>
        <t xml:space="preserve">You can estimate the age based on the bachelor's degree graduation year (= 2020 - GradYear + 22)
	-Ahmad Takatkah</t>
      </text>
    </comment>
    <comment authorId="0" ref="BU2">
      <text>
        <t xml:space="preserve">You can estimate the age based on the bachelor's degree graduation year (= 2020 - GradYear + 22)
	-Ahmad Takatkah</t>
      </text>
    </comment>
    <comment authorId="0" ref="BT2">
      <text>
        <t xml:space="preserve">Enter the number of successful exits the founder has had before this company
	-Ahmad Takatkah</t>
      </text>
    </comment>
    <comment authorId="0" ref="BZ2">
      <text>
        <t xml:space="preserve">Enter the number of successful exits the founder has had before this company
	-Ahmad Takatkah</t>
      </text>
    </comment>
    <comment authorId="0" ref="CF2">
      <text>
        <t xml:space="preserve">Enter the number of successful exits the founder has had before this company
	-Ahmad Takatkah</t>
      </text>
    </comment>
    <comment authorId="0" ref="CL2">
      <text>
        <t xml:space="preserve">Enter the number of successful exits the founder has had before this company
	-Ahmad Takatkah</t>
      </text>
    </comment>
    <comment authorId="0" ref="CK2">
      <text>
        <t xml:space="preserve">Enter the number of startups this founder has founded before this company (successful and failed ones)
	-Ahmad Takatkah</t>
      </text>
    </comment>
    <comment authorId="0" ref="CE2">
      <text>
        <t xml:space="preserve">Enter the number of startups this founder has founded before this company (successful and failed ones)
	-Ahmad Takatkah</t>
      </text>
    </comment>
    <comment authorId="0" ref="BY2">
      <text>
        <t xml:space="preserve">Enter the number of startups this founder has founded before this company (successful and failed ones)
	-Ahmad Takatkah</t>
      </text>
    </comment>
    <comment authorId="0" ref="BS2">
      <text>
        <t xml:space="preserve">Enter the number of startups this founder has founded before this company (successful and failed ones)
	-Ahmad Takatkah</t>
      </text>
    </comment>
    <comment authorId="0" ref="CJ2">
      <text>
        <t xml:space="preserve">Enter the number of years of experience this founder has in the industry of this company
	-Ahmad Takatkah</t>
      </text>
    </comment>
    <comment authorId="0" ref="CD2">
      <text>
        <t xml:space="preserve">Enter the number of years of experience this founder has in the industry of this company
	-Ahmad Takatkah</t>
      </text>
    </comment>
    <comment authorId="0" ref="BX2">
      <text>
        <t xml:space="preserve">Enter the number of years of experience this founder has in the industry of this company
	-Ahmad Takatkah</t>
      </text>
    </comment>
    <comment authorId="0" ref="BR2">
      <text>
        <t xml:space="preserve">Enter the number of years of experience this founder has in the industry of this company
	-Ahmad Takatkah</t>
      </text>
    </comment>
    <comment authorId="0" ref="BP2">
      <text>
        <t xml:space="preserve">Enter the number of notable investors in this or previous rounds if available or if mentioned by the company
	-Ahmad Takatkah</t>
      </text>
    </comment>
    <comment authorId="0" ref="BN2">
      <text>
        <t xml:space="preserve">Enter the number of all team members including founders
	-Ahmad Takatkah</t>
      </text>
    </comment>
    <comment authorId="0" ref="BO2">
      <text>
        <t xml:space="preserve">Enter the number of relevant advisors for the company (Not all advisors)
	-Ahmad Takatkah</t>
      </text>
    </comment>
    <comment authorId="0" ref="BM2">
      <text>
        <t xml:space="preserve">Enter the number of unique universities the founders went to
	-Ahmad Takatkah</t>
      </text>
    </comment>
    <comment authorId="0" ref="BL2">
      <text>
        <t xml:space="preserve">Yes / No
	-Ahmad Takatkah</t>
      </text>
    </comment>
    <comment authorId="0" ref="BK2">
      <text>
        <t xml:space="preserve">Yes / No
	-Ahmad Takatkah</t>
      </text>
    </comment>
    <comment authorId="0" ref="BJ2">
      <text>
        <t xml:space="preserve">Yes / No
	-Ahmad Takatkah</t>
      </text>
    </comment>
    <comment authorId="0" ref="BI2">
      <text>
        <t xml:space="preserve">Yes / No
	-Ahmad Takatkah</t>
      </text>
    </comment>
    <comment authorId="0" ref="BH2">
      <text>
        <t xml:space="preserve">Enter the number of founders (not all team)
	-Ahmad Takatkah</t>
      </text>
    </comment>
    <comment authorId="0" ref="BG2">
      <text>
        <t xml:space="preserve">Enter the number of relevant partnerships
	-Ahmad Takatkah</t>
      </text>
    </comment>
    <comment authorId="0" ref="BF2">
      <text>
        <t xml:space="preserve">Yes / No
	-Ahmad Takatkah</t>
      </text>
    </comment>
    <comment authorId="0" ref="BE2">
      <text>
        <t xml:space="preserve">Only for BioTech Companies
	-Ahmad Takatkah</t>
      </text>
    </comment>
    <comment authorId="0" ref="BB2">
      <text>
        <t xml:space="preserve">= monthly burn rate / prior rounds total amount raised
	-Ahmad Takatkah</t>
      </text>
    </comment>
    <comment authorId="0" ref="AZ2">
      <text>
        <t xml:space="preserve">If any, enter the total amount of funding from all previous rounds (Excluding this current round)
	-Ahmad Takatkah</t>
      </text>
    </comment>
    <comment authorId="0" ref="AY2">
      <text>
        <t xml:space="preserve">From the SEC Filing ONLY:
Divide the reported "Net Income Most Recent Fiscal Year-end" by 12 to get the monthly burn rate
	-Ahmad Takatkah</t>
      </text>
    </comment>
    <comment authorId="0" ref="AW2">
      <text>
        <t xml:space="preserve">From the SEC Filing ONLY: 
Enter the reported "Revenue/Sales Most Recent Fiscal Year-end"
	-Ahmad Takatkah</t>
      </text>
    </comment>
    <comment authorId="0" ref="AV2">
      <text>
        <t xml:space="preserve">Yes / No
	-Ahmad Takatkah</t>
      </text>
    </comment>
    <comment authorId="0" ref="AU2">
      <text>
        <t xml:space="preserve">Yes / No
	-Ahmad Takatkah</t>
      </text>
    </comment>
    <comment authorId="0" ref="AT2">
      <text>
        <t xml:space="preserve">Yes / No
	-Ahmad Takatkah</t>
      </text>
    </comment>
    <comment authorId="0" ref="V2">
      <text>
        <t xml:space="preserve">If raising a SAFE or Convertible Note round, otherwise keep it empty
	-Ahmad Takatkah</t>
      </text>
    </comment>
    <comment authorId="0" ref="U2">
      <text>
        <t xml:space="preserve">If raising a SAFE or Convertible Note round, otherwise keep it empty
	-Ahmad Takatkah</t>
      </text>
    </comment>
    <comment authorId="0" ref="T2">
      <text>
        <t xml:space="preserve">If raising an equity round, otherwise keep it empty
	-Ahmad Takatkah</t>
      </text>
    </comment>
    <comment authorId="0" ref="AP2">
      <text>
        <t xml:space="preserve">This depends on your opinion after comparing the company's product or service to those of its competitors
	-Ahmad Takatkah</t>
      </text>
    </comment>
    <comment authorId="0" ref="AO2">
      <text>
        <t xml:space="preserve">High: if the price of this company's product of service is cheaper than its competitors
	-Ahmad Takatkah</t>
      </text>
    </comment>
    <comment authorId="0" ref="AN2">
      <text>
        <t xml:space="preserve">High: if the quality of this company's product of service is higher than its competitors
	-Ahmad Takatkah</t>
      </text>
    </comment>
    <comment authorId="0" ref="AS2">
      <text>
        <t xml:space="preserve">Yes / No
	-Ahmad Takatkah</t>
      </text>
    </comment>
    <comment authorId="0" ref="AM2">
      <text>
        <t xml:space="preserve">Number of direct competitors. Don't take their word for it, research and find who else is competing with them
	-Ahmad Takatkah</t>
      </text>
    </comment>
    <comment authorId="0" ref="AF2">
      <text>
        <t xml:space="preserve">Enter the name of the accelerator or incubator if any
	-Ahmad Takatkah</t>
      </text>
    </comment>
    <comment authorId="0" ref="AC2">
      <text>
        <t xml:space="preserve">Yes / No
	-Ahmad Takatkah</t>
      </text>
    </comment>
    <comment authorId="0" ref="P2">
      <text>
        <t xml:space="preserve">If the company has two parallel crowdfunding campaigns with a different Reg
	-Ahmad Takatkah</t>
      </text>
    </comment>
    <comment authorId="0" ref="J2">
      <text>
        <t xml:space="preserve">The "Doing Business As" name, which could be the same as company name without the LLC or Inc or totally different brand name
	-Ahmad Takatkah</t>
      </text>
    </comment>
    <comment authorId="0" ref="I2">
      <text>
        <t xml:space="preserve">The full legal name of the company from the SEC filing
	-Ahmad Takatkah</t>
      </text>
    </comment>
    <comment authorId="0" ref="H2">
      <text>
        <t xml:space="preserve">This is the date on the SEC filing, you can find it if you scroll all the way down in the SEC filing
	-Ahmad Takatkah</t>
      </text>
    </comment>
  </commentList>
</comments>
</file>

<file path=xl/sharedStrings.xml><?xml version="1.0" encoding="utf-8"?>
<sst xmlns="http://schemas.openxmlformats.org/spreadsheetml/2006/main" count="12130" uniqueCount="1878">
  <si>
    <t>company.industry</t>
  </si>
  <si>
    <t xml:space="preserve">company.tech_sector </t>
  </si>
  <si>
    <t>Data Imputation</t>
  </si>
  <si>
    <t>company_rounds.stage</t>
  </si>
  <si>
    <t>company_rounds.series</t>
  </si>
  <si>
    <t>company_rounds.status</t>
  </si>
  <si>
    <t>company_rounds.security_type</t>
  </si>
  <si>
    <t>company_rounds.crowdfunding_type</t>
  </si>
  <si>
    <t>company_details_at_round.revenue_model</t>
  </si>
  <si>
    <t>company_details_at_round.distrubution_model</t>
  </si>
  <si>
    <t>company_details_at_round.business_type</t>
  </si>
  <si>
    <t>company_details_at_round.margin_level</t>
  </si>
  <si>
    <t>company_details_at_round.capital_intensity_level</t>
  </si>
  <si>
    <t>company_details_at_round.market_regulation_level</t>
  </si>
  <si>
    <t>company_details_at_round.differentiation_level_quality</t>
  </si>
  <si>
    <t>company_details_at_round.differentiation_level_price</t>
  </si>
  <si>
    <t>company_details_at_round.how_is_it_10x_better</t>
  </si>
  <si>
    <t>company_performance_at_round.development_phase</t>
  </si>
  <si>
    <t>company_performance_at_round.bio_development_phase</t>
  </si>
  <si>
    <t>platform</t>
  </si>
  <si>
    <t>barriers_to_entry</t>
  </si>
  <si>
    <t>threat_of_substitute_products</t>
  </si>
  <si>
    <t>market_sizes</t>
  </si>
  <si>
    <t>market_growth_rates</t>
  </si>
  <si>
    <t>valuations_and_caps</t>
  </si>
  <si>
    <t>revenues</t>
  </si>
  <si>
    <t>capital_utilizations</t>
  </si>
  <si>
    <t>prior_capital_raises</t>
  </si>
  <si>
    <t>Accounting</t>
  </si>
  <si>
    <t>Foundrer 1 Age</t>
  </si>
  <si>
    <t>AdTech</t>
  </si>
  <si>
    <t>Early</t>
  </si>
  <si>
    <t>Pre-Seed</t>
  </si>
  <si>
    <t>Active</t>
  </si>
  <si>
    <t>CAFES</t>
  </si>
  <si>
    <t>RegCF</t>
  </si>
  <si>
    <t>Transactional</t>
  </si>
  <si>
    <t>B2B</t>
  </si>
  <si>
    <t>Life Style</t>
  </si>
  <si>
    <t>High</t>
  </si>
  <si>
    <t>Similar to others</t>
  </si>
  <si>
    <t>Pre-Product</t>
  </si>
  <si>
    <t>Preclinical</t>
  </si>
  <si>
    <t>AngelList</t>
  </si>
  <si>
    <t>&gt; $1T</t>
  </si>
  <si>
    <t xml:space="preserve">Substitute with the median age of all other founder 1s or avg. of the founders in the same company </t>
  </si>
  <si>
    <t>Valuation Cap of CAFES</t>
  </si>
  <si>
    <t xml:space="preserve">Substitute with median Valuation Cap of all other companies. </t>
  </si>
  <si>
    <t>Valuation Cap of Convertible Notes</t>
  </si>
  <si>
    <t xml:space="preserve">If Tech_sector = Non-Tech, substitute with median Valuation Cap of all other Non-Tech companies. If Tech_sector =! Non-Tech, substitute with Agv. valuation cap of all other tech companies. </t>
  </si>
  <si>
    <t>Valuation Cap of SAFES</t>
  </si>
  <si>
    <t xml:space="preserve">Discount Rate </t>
  </si>
  <si>
    <t>Substitute with 0%</t>
  </si>
  <si>
    <t>Capital Effeciency</t>
  </si>
  <si>
    <t>Substitute with 100%</t>
  </si>
  <si>
    <t xml:space="preserve">Should be Capital Utilization </t>
  </si>
  <si>
    <t>Capital Effeciency (New)</t>
  </si>
  <si>
    <t xml:space="preserve">Should be Rev/Capital </t>
  </si>
  <si>
    <t>AY3</t>
  </si>
  <si>
    <t>&lt;</t>
  </si>
  <si>
    <t>= "</t>
  </si>
  <si>
    <t>, "</t>
  </si>
  <si>
    <t>&lt; $10K</t>
  </si>
  <si>
    <t>",</t>
  </si>
  <si>
    <t>,</t>
  </si>
  <si>
    <t>&lt; 0% (Shrinking Market)</t>
  </si>
  <si>
    <t>&lt;=</t>
  </si>
  <si>
    <t>$10K - $50K</t>
  </si>
  <si>
    <t>$50K - $100K</t>
  </si>
  <si>
    <t>&lt; $1M</t>
  </si>
  <si>
    <t>$100K - $500K</t>
  </si>
  <si>
    <t>$500K - $1M</t>
  </si>
  <si>
    <t>$1M - $2M</t>
  </si>
  <si>
    <t>$2M - $3M</t>
  </si>
  <si>
    <t>$3M - $4M</t>
  </si>
  <si>
    <t>$4M - $5M</t>
  </si>
  <si>
    <t>&lt; 10%</t>
  </si>
  <si>
    <t>&gt;</t>
  </si>
  <si>
    <t>&gt; $5M</t>
  </si>
  <si>
    <t>Airlines/Aviation</t>
  </si>
  <si>
    <t>AgriTech</t>
  </si>
  <si>
    <t>Growth</t>
  </si>
  <si>
    <t>Seed</t>
  </si>
  <si>
    <t>Closed</t>
  </si>
  <si>
    <t>Convertible Note</t>
  </si>
  <si>
    <t>RegA+</t>
  </si>
  <si>
    <t>Recurring</t>
  </si>
  <si>
    <t>B2C</t>
  </si>
  <si>
    <t>High Growth</t>
  </si>
  <si>
    <t>Low</t>
  </si>
  <si>
    <t>Obviously better than others</t>
  </si>
  <si>
    <t>Pre-Revenue</t>
  </si>
  <si>
    <t>Phase 0</t>
  </si>
  <si>
    <t>Buy The Block</t>
  </si>
  <si>
    <t>$500B-$1T</t>
  </si>
  <si>
    <t>0%-10%</t>
  </si>
  <si>
    <t>Pre-Ratings Calculations</t>
  </si>
  <si>
    <t>10% - 20%</t>
  </si>
  <si>
    <t>Alternative Dispute Resolution</t>
  </si>
  <si>
    <t>BioTech</t>
  </si>
  <si>
    <t>Pre-IPO</t>
  </si>
  <si>
    <t>Series A</t>
  </si>
  <si>
    <t>Disappreared</t>
  </si>
  <si>
    <t>Debt</t>
  </si>
  <si>
    <t>RegD 506(C)</t>
  </si>
  <si>
    <t>B2B2C</t>
  </si>
  <si>
    <t>Obviously worse than others</t>
  </si>
  <si>
    <t>Pre-Profit</t>
  </si>
  <si>
    <t>Phase I</t>
  </si>
  <si>
    <t>CrowdSource Funded</t>
  </si>
  <si>
    <t>$250B-$500B</t>
  </si>
  <si>
    <t>Ratings - Price</t>
  </si>
  <si>
    <t>10%-20%</t>
  </si>
  <si>
    <t>$2M - $4M</t>
  </si>
  <si>
    <t>20% - 30%</t>
  </si>
  <si>
    <t>Ratings - Market</t>
  </si>
  <si>
    <t>Alternative Medicine</t>
  </si>
  <si>
    <t>CleanTech</t>
  </si>
  <si>
    <t>Ratings - Team</t>
  </si>
  <si>
    <t>Series B</t>
  </si>
  <si>
    <t>Not Funded</t>
  </si>
  <si>
    <t>Equity - Common</t>
  </si>
  <si>
    <t>RegD 506(B)</t>
  </si>
  <si>
    <t>B2B/B2C</t>
  </si>
  <si>
    <t>Profitable</t>
  </si>
  <si>
    <t>Phase II</t>
  </si>
  <si>
    <t>Equifund CFP</t>
  </si>
  <si>
    <t>$100B-$250B</t>
  </si>
  <si>
    <t>20%-30%</t>
  </si>
  <si>
    <t>Ratings - Business Model</t>
  </si>
  <si>
    <t>$4M - $6M</t>
  </si>
  <si>
    <t>30% - 40%</t>
  </si>
  <si>
    <t>Animation</t>
  </si>
  <si>
    <t>CommerceTech</t>
  </si>
  <si>
    <t>Series C</t>
  </si>
  <si>
    <t>Equity - Preferred</t>
  </si>
  <si>
    <t>C2C</t>
  </si>
  <si>
    <t>Ratings - Performance</t>
  </si>
  <si>
    <t>Phase III</t>
  </si>
  <si>
    <t>EquityBee</t>
  </si>
  <si>
    <t>$50B-$100B</t>
  </si>
  <si>
    <t>Discount affecting the valuation ratings</t>
  </si>
  <si>
    <t>30%-40%</t>
  </si>
  <si>
    <t>$6M - $8M</t>
  </si>
  <si>
    <t xml:space="preserve">Valuation Scaling vs. Avg based comparison (STD) </t>
  </si>
  <si>
    <t>Overall rating: Avg. vs. Sum-&gt;Scaling</t>
  </si>
  <si>
    <t xml:space="preserve">Ratings - Diffrentiation </t>
  </si>
  <si>
    <t xml:space="preserve">Market rating: Agv. vs. Sum-&gt;Scaling </t>
  </si>
  <si>
    <t>Market Scaling vs. Avg based comparison (STD)</t>
  </si>
  <si>
    <t>40% - 50%</t>
  </si>
  <si>
    <t xml:space="preserve">Movies: Consider removing them b/c they ar not companies </t>
  </si>
  <si>
    <t xml:space="preserve">Real Estate One off projects: Cosider removing them </t>
  </si>
  <si>
    <t xml:space="preserve">Lifestyle vs. High Growth: Two different group </t>
  </si>
  <si>
    <t>Apparel &amp; Fashion</t>
  </si>
  <si>
    <t>EdTech</t>
  </si>
  <si>
    <t xml:space="preserve">- Apply the discount </t>
  </si>
  <si>
    <t>Series D</t>
  </si>
  <si>
    <t>Profit Share</t>
  </si>
  <si>
    <t>Phase IV</t>
  </si>
  <si>
    <t>EquityZen</t>
  </si>
  <si>
    <t>$25B-$50B</t>
  </si>
  <si>
    <t>40%-50%</t>
  </si>
  <si>
    <t>$8M - $10M</t>
  </si>
  <si>
    <t>writer</t>
  </si>
  <si>
    <t>50% - 60%</t>
  </si>
  <si>
    <t>cik</t>
  </si>
  <si>
    <t>Architecture &amp; Planning</t>
  </si>
  <si>
    <t>EnterpriseTech</t>
  </si>
  <si>
    <t>Series E</t>
  </si>
  <si>
    <t>Revenue Share</t>
  </si>
  <si>
    <t>company</t>
  </si>
  <si>
    <t>date_created</t>
  </si>
  <si>
    <t>Forge</t>
  </si>
  <si>
    <t>platform_url</t>
  </si>
  <si>
    <t>$10B-$25B</t>
  </si>
  <si>
    <t>sec_filing_url</t>
  </si>
  <si>
    <t>sec_filing_date</t>
  </si>
  <si>
    <t>legal_name</t>
  </si>
  <si>
    <t>dba</t>
  </si>
  <si>
    <t>industry</t>
  </si>
  <si>
    <t>tech_sector</t>
  </si>
  <si>
    <t>&gt; 50%</t>
  </si>
  <si>
    <t>stage</t>
  </si>
  <si>
    <t>series</t>
  </si>
  <si>
    <t>crowdfunding_type_1</t>
  </si>
  <si>
    <t>crowdfunding_type_2</t>
  </si>
  <si>
    <t>security_type</t>
  </si>
  <si>
    <t>$10M - $12M</t>
  </si>
  <si>
    <t>rev_share_return_multiple</t>
  </si>
  <si>
    <t>debt_interest_rate</t>
  </si>
  <si>
    <t>60% - 70%</t>
  </si>
  <si>
    <t>pre_money_valuation</t>
  </si>
  <si>
    <t>Arts &amp; Crafts</t>
  </si>
  <si>
    <t>FashionTech</t>
  </si>
  <si>
    <t>Series F</t>
  </si>
  <si>
    <t>SAFE</t>
  </si>
  <si>
    <t>valuation_cap</t>
  </si>
  <si>
    <t>discount_rate</t>
  </si>
  <si>
    <t>Fundanna</t>
  </si>
  <si>
    <t>$5B-$10B</t>
  </si>
  <si>
    <t>valuation_cap_after_discount</t>
  </si>
  <si>
    <t>valuations_combined</t>
  </si>
  <si>
    <t>valuations_brackets</t>
  </si>
  <si>
    <t>revenue_model</t>
  </si>
  <si>
    <t>distrubution_model</t>
  </si>
  <si>
    <t>business_type</t>
  </si>
  <si>
    <t>has_scalable_business_model</t>
  </si>
  <si>
    <t>$12M - $14M</t>
  </si>
  <si>
    <t>margin_level</t>
  </si>
  <si>
    <t>capital_intensity_level</t>
  </si>
  <si>
    <t>accelerator_program</t>
  </si>
  <si>
    <t>market_size_total</t>
  </si>
  <si>
    <t>market_size_total_buckets</t>
  </si>
  <si>
    <t>market_size_addressable</t>
  </si>
  <si>
    <t>market_size_addressable_buckets</t>
  </si>
  <si>
    <t>market_growth_rate</t>
  </si>
  <si>
    <t>70% - 80%</t>
  </si>
  <si>
    <t>market_growth_rate_buckets</t>
  </si>
  <si>
    <t>direct_competitors</t>
  </si>
  <si>
    <t>differentiation_level_quality</t>
  </si>
  <si>
    <t>Automotive</t>
  </si>
  <si>
    <t>FinTech</t>
  </si>
  <si>
    <t>Series G</t>
  </si>
  <si>
    <t>differentiation_level_price</t>
  </si>
  <si>
    <t>how_is_it_10x_better</t>
  </si>
  <si>
    <t>Equity - Tokens</t>
  </si>
  <si>
    <t>has_social_impact</t>
  </si>
  <si>
    <t>has_patents</t>
  </si>
  <si>
    <t>has_users</t>
  </si>
  <si>
    <t>has_paying_customers</t>
  </si>
  <si>
    <t>Fundopolis</t>
  </si>
  <si>
    <t>total_revenue</t>
  </si>
  <si>
    <t>$1B-$5B</t>
  </si>
  <si>
    <t>total_revenue_brackets</t>
  </si>
  <si>
    <t>monthly_burn</t>
  </si>
  <si>
    <t>prior_rounds_total_amount_raised</t>
  </si>
  <si>
    <t>prior_rounds_total_amount_raised_buckets</t>
  </si>
  <si>
    <t>monthly_burn_rate</t>
  </si>
  <si>
    <t>monthly_burn_rate_of_capital_buckets</t>
  </si>
  <si>
    <t>development_phase</t>
  </si>
  <si>
    <t>$14M - $16M</t>
  </si>
  <si>
    <t>bio_development_phase</t>
  </si>
  <si>
    <t>has_partnerships</t>
  </si>
  <si>
    <t>relevant_partners</t>
  </si>
  <si>
    <t>founders</t>
  </si>
  <si>
    <t>has_shared_experience</t>
  </si>
  <si>
    <t>has_female_founders</t>
  </si>
  <si>
    <t>has_minority_founders</t>
  </si>
  <si>
    <t>has_famous_founders</t>
  </si>
  <si>
    <t>unique_universities</t>
  </si>
  <si>
    <t>80% - 90%</t>
  </si>
  <si>
    <t>employees</t>
  </si>
  <si>
    <t>relevent_advisors</t>
  </si>
  <si>
    <t>notable_investors</t>
  </si>
  <si>
    <t>spacer founder 1</t>
  </si>
  <si>
    <t>founder_1_relevant_industry_experience</t>
  </si>
  <si>
    <t>founder_1_previous_startups</t>
  </si>
  <si>
    <t>founder_1_exits</t>
  </si>
  <si>
    <t>founder_1_age</t>
  </si>
  <si>
    <t>founder_1_graduated_from_top_100</t>
  </si>
  <si>
    <t>spacer founder 2</t>
  </si>
  <si>
    <t>founder_2_relevant_industry_experience</t>
  </si>
  <si>
    <t>Aviation and Aerospace</t>
  </si>
  <si>
    <t>founder_2_previous_startups</t>
  </si>
  <si>
    <t>FoodTech</t>
  </si>
  <si>
    <t>founder_2_exits</t>
  </si>
  <si>
    <t>founder_2_age</t>
  </si>
  <si>
    <t>Series H</t>
  </si>
  <si>
    <t>founder_2_graduated_from_top_100</t>
  </si>
  <si>
    <t>spacer founder 3</t>
  </si>
  <si>
    <t>founder_3_relevant_industry_experience</t>
  </si>
  <si>
    <t>founder_3_previous_startups</t>
  </si>
  <si>
    <t>founder_3_exits</t>
  </si>
  <si>
    <t>founder_3_age</t>
  </si>
  <si>
    <t>Honeycomb</t>
  </si>
  <si>
    <t>founder_3_graduated_from_top_100</t>
  </si>
  <si>
    <t>$500M-$1B</t>
  </si>
  <si>
    <t>spacer founder 4</t>
  </si>
  <si>
    <t>founder_4_relevant_industry_experience</t>
  </si>
  <si>
    <t>founder_4_previous_startups</t>
  </si>
  <si>
    <t>founder_4_exits</t>
  </si>
  <si>
    <t>founder_4_age</t>
  </si>
  <si>
    <t>founder_4_graduated_from_top_100</t>
  </si>
  <si>
    <t>spacer founder 5</t>
  </si>
  <si>
    <t>$16M - $18M</t>
  </si>
  <si>
    <t>founder_5_relevant_industry_experience</t>
  </si>
  <si>
    <t>founder_5_previous_startups</t>
  </si>
  <si>
    <t>founder_5_exits</t>
  </si>
  <si>
    <t>founder_5_age</t>
  </si>
  <si>
    <t>founder_5_graduated_from_top_100</t>
  </si>
  <si>
    <t>spacer founder 6</t>
  </si>
  <si>
    <t>founder_6_relevant_industry_experience</t>
  </si>
  <si>
    <t>founder_6_previous_startups</t>
  </si>
  <si>
    <t>founder_6_exits</t>
  </si>
  <si>
    <t>founder_6_age</t>
  </si>
  <si>
    <t>founder_6_graduated_from_top_100</t>
  </si>
  <si>
    <t>spacer founder 7</t>
  </si>
  <si>
    <t>founder_7_relevant_industry_experience</t>
  </si>
  <si>
    <t>founder_7_previous_startups</t>
  </si>
  <si>
    <t>founder_7_exits</t>
  </si>
  <si>
    <t>founder_7_age</t>
  </si>
  <si>
    <t>founder_7_graduated_from_top_100</t>
  </si>
  <si>
    <t>spacer founder 8</t>
  </si>
  <si>
    <t>founder_8_relevant_industry_experience</t>
  </si>
  <si>
    <t>founder_8_previous_startups</t>
  </si>
  <si>
    <t>90% - 100%</t>
  </si>
  <si>
    <t>founder_8_exits</t>
  </si>
  <si>
    <t>founder_8_age</t>
  </si>
  <si>
    <t>founder_8_graduated_from_top_100</t>
  </si>
  <si>
    <t>spacer founder 9</t>
  </si>
  <si>
    <t>founder_9_relevant_industry_experience</t>
  </si>
  <si>
    <t>founder_9_previous_startups</t>
  </si>
  <si>
    <t>founder_9_exits</t>
  </si>
  <si>
    <t>founder_9_age</t>
  </si>
  <si>
    <t>founder_9_graduated_from_top_100</t>
  </si>
  <si>
    <t>Banking</t>
  </si>
  <si>
    <t>HardwareTech</t>
  </si>
  <si>
    <t xml:space="preserve">Series I </t>
  </si>
  <si>
    <t>LocalStake</t>
  </si>
  <si>
    <t>$250M-$500M</t>
  </si>
  <si>
    <t>$18M - $20M</t>
  </si>
  <si>
    <t>avg_relevant_industry_experience</t>
  </si>
  <si>
    <t>Biotechnology</t>
  </si>
  <si>
    <t>HealthTech</t>
  </si>
  <si>
    <t>Series J</t>
  </si>
  <si>
    <t>MainVest</t>
  </si>
  <si>
    <t>$100M-$250M</t>
  </si>
  <si>
    <t>sum_founders_previous_startups</t>
  </si>
  <si>
    <t>sum_exits</t>
  </si>
  <si>
    <t>avg_age</t>
  </si>
  <si>
    <t>age_buckets</t>
  </si>
  <si>
    <t>$20M - $22M</t>
  </si>
  <si>
    <t>Broadcast Media</t>
  </si>
  <si>
    <t>InsurTech</t>
  </si>
  <si>
    <t>Series K</t>
  </si>
  <si>
    <t>Valuation/Cap</t>
  </si>
  <si>
    <t>MicroVentures</t>
  </si>
  <si>
    <t>$50M-$100M</t>
  </si>
  <si>
    <t>Discount Rate</t>
  </si>
  <si>
    <t>$22M - $24M</t>
  </si>
  <si>
    <t>Building Materials</t>
  </si>
  <si>
    <t>LegalTech</t>
  </si>
  <si>
    <t>Interest Rate</t>
  </si>
  <si>
    <t>Mr. Crowd</t>
  </si>
  <si>
    <t>$25M-$50M</t>
  </si>
  <si>
    <t>$24M - $26M</t>
  </si>
  <si>
    <t>Return Multiple</t>
  </si>
  <si>
    <t>Price Rating</t>
  </si>
  <si>
    <t>Business Supplies &amp; Equipment</t>
  </si>
  <si>
    <t>MarketplaceTech</t>
  </si>
  <si>
    <t>NetCapital</t>
  </si>
  <si>
    <t>&lt; $25M</t>
  </si>
  <si>
    <t>Attributes - Security Type</t>
  </si>
  <si>
    <t>$26M - $28M</t>
  </si>
  <si>
    <t>Cannabis and CBD</t>
  </si>
  <si>
    <t>MediaTech</t>
  </si>
  <si>
    <t>%</t>
  </si>
  <si>
    <t>NextSeed</t>
  </si>
  <si>
    <t>Tags - Stage</t>
  </si>
  <si>
    <t>Addressable Market Size</t>
  </si>
  <si>
    <t>$28M - $30M</t>
  </si>
  <si>
    <t>Capital Markets</t>
  </si>
  <si>
    <t>MedTech</t>
  </si>
  <si>
    <t>Razitall</t>
  </si>
  <si>
    <t>$30M - $32M</t>
  </si>
  <si>
    <t>Market Growth</t>
  </si>
  <si>
    <t>Sum</t>
  </si>
  <si>
    <t>Chemicals</t>
  </si>
  <si>
    <t>PropTech</t>
  </si>
  <si>
    <t>Republic</t>
  </si>
  <si>
    <t>Market Rating</t>
  </si>
  <si>
    <t>$32M - $34M</t>
  </si>
  <si>
    <t>Civic and Social Organization</t>
  </si>
  <si>
    <t>RegTech</t>
  </si>
  <si>
    <t>SeedInvest</t>
  </si>
  <si>
    <t>Tags - Social Impact</t>
  </si>
  <si>
    <t>$34M - $36M</t>
  </si>
  <si>
    <t>Relevant Industry Experience</t>
  </si>
  <si>
    <t>Civil Engineering</t>
  </si>
  <si>
    <t>RetailTech</t>
  </si>
  <si>
    <t>Previous Startups</t>
  </si>
  <si>
    <t>StartEngine</t>
  </si>
  <si>
    <t>$36M - $38M</t>
  </si>
  <si>
    <t>Commercial Real Estate</t>
  </si>
  <si>
    <t>WealthTech</t>
  </si>
  <si>
    <t>Exits</t>
  </si>
  <si>
    <t>TruCrowd</t>
  </si>
  <si>
    <t>$38M - $40M</t>
  </si>
  <si>
    <t>Team Rating</t>
  </si>
  <si>
    <t>Computer &amp; Network Security</t>
  </si>
  <si>
    <t>Non-Tech</t>
  </si>
  <si>
    <t>Attributes - Founders Age</t>
  </si>
  <si>
    <t>WeFunder</t>
  </si>
  <si>
    <t>&lt; $40M</t>
  </si>
  <si>
    <t>Computer Games</t>
  </si>
  <si>
    <t>AutomationTech</t>
  </si>
  <si>
    <t>WunderFund</t>
  </si>
  <si>
    <t>Attributes - # of Founders</t>
  </si>
  <si>
    <t>Attributes - Employees</t>
  </si>
  <si>
    <t>Attributes - Founders Worked Together</t>
  </si>
  <si>
    <t>Tags - Female Founder</t>
  </si>
  <si>
    <t>Tags - Minority Founder</t>
  </si>
  <si>
    <t>Computer Hardware</t>
  </si>
  <si>
    <t>GamingTech</t>
  </si>
  <si>
    <t>Tags - Famous Founder</t>
  </si>
  <si>
    <t>Attributes - Revenue Model</t>
  </si>
  <si>
    <t>Attributes - Distribution Model</t>
  </si>
  <si>
    <t>Attributes - Margin</t>
  </si>
  <si>
    <t>Attributes - Capital Intensity</t>
  </si>
  <si>
    <t>Computer Networking</t>
  </si>
  <si>
    <t>Has Paying Customers</t>
  </si>
  <si>
    <t>Revenue</t>
  </si>
  <si>
    <t>Capital Utilization</t>
  </si>
  <si>
    <t>Capital Raised</t>
  </si>
  <si>
    <t>Performance Rating</t>
  </si>
  <si>
    <t>Computer Software</t>
  </si>
  <si>
    <t>Attribute - Development Phase</t>
  </si>
  <si>
    <t>Construction</t>
  </si>
  <si>
    <t>Diffrentiation Rating</t>
  </si>
  <si>
    <t>Consumer Elecronics</t>
  </si>
  <si>
    <t>Attribute - has_patents</t>
  </si>
  <si>
    <t>Attribute - barriers_to_entry</t>
  </si>
  <si>
    <t>Consumer Goods</t>
  </si>
  <si>
    <t>Consumer Services</t>
  </si>
  <si>
    <t>Attribute - threat_of_substitute_products</t>
  </si>
  <si>
    <t>Cosmetics</t>
  </si>
  <si>
    <t>Overall Ratings (Scaled Sum)</t>
  </si>
  <si>
    <t>Olivia</t>
  </si>
  <si>
    <t>Dairy</t>
  </si>
  <si>
    <t>Weeds Never Sleep</t>
  </si>
  <si>
    <t>Defense &amp; Space</t>
  </si>
  <si>
    <t>Design</t>
  </si>
  <si>
    <t>E-learning</t>
  </si>
  <si>
    <t>Education Management</t>
  </si>
  <si>
    <t>https://us.trucrowd.com/equity/offer-summary/WeedsNeverSleep</t>
  </si>
  <si>
    <t>Electrical &amp; Electronic Manufacturing</t>
  </si>
  <si>
    <t>Entertainment</t>
  </si>
  <si>
    <t>Enviromental Services</t>
  </si>
  <si>
    <t>Events Services</t>
  </si>
  <si>
    <t>Executive Office</t>
  </si>
  <si>
    <t>https://disclosurequest.com/form/weeds-never-sleep-llc/0001778006-19-000001/?returnURL=</t>
  </si>
  <si>
    <t>Facilities Services</t>
  </si>
  <si>
    <t>Farming</t>
  </si>
  <si>
    <t>Weeds Never Sleep LLC</t>
  </si>
  <si>
    <t>Weeds Never Sleep or HotZot</t>
  </si>
  <si>
    <t>Financial Services</t>
  </si>
  <si>
    <t>Fine Art</t>
  </si>
  <si>
    <t>Fishery</t>
  </si>
  <si>
    <t>Food &amp; Beverages</t>
  </si>
  <si>
    <t>Food Production</t>
  </si>
  <si>
    <t>Fund-Raising</t>
  </si>
  <si>
    <t>Furniture</t>
  </si>
  <si>
    <t>Gambling &amp; Casinos</t>
  </si>
  <si>
    <t>Glass, Ceramics &amp; Concrete</t>
  </si>
  <si>
    <t>Government Administration</t>
  </si>
  <si>
    <t>Government Relations</t>
  </si>
  <si>
    <t>Graphic Design</t>
  </si>
  <si>
    <t>Health, Welness &amp; Fitness</t>
  </si>
  <si>
    <t>Higher Education</t>
  </si>
  <si>
    <t>Hospital &amp; Health Care</t>
  </si>
  <si>
    <t>Hospitality</t>
  </si>
  <si>
    <t>Human Resources</t>
  </si>
  <si>
    <t>Import and Export</t>
  </si>
  <si>
    <t>Individual &amp; Family Services</t>
  </si>
  <si>
    <t>Industrial Automation</t>
  </si>
  <si>
    <t>Information Services</t>
  </si>
  <si>
    <t>Information Technology and Services</t>
  </si>
  <si>
    <t>Insurance</t>
  </si>
  <si>
    <t>International Affairs</t>
  </si>
  <si>
    <t>No</t>
  </si>
  <si>
    <t>International Trade and Development</t>
  </si>
  <si>
    <t>Internet</t>
  </si>
  <si>
    <t>Investmend Management</t>
  </si>
  <si>
    <t>Investment Banking</t>
  </si>
  <si>
    <t>Judiciary</t>
  </si>
  <si>
    <t>Law Enforcement</t>
  </si>
  <si>
    <t>Law Practice</t>
  </si>
  <si>
    <t>Legal Services</t>
  </si>
  <si>
    <t>Legislative Office</t>
  </si>
  <si>
    <t>Leisure, Travel &amp; Turism</t>
  </si>
  <si>
    <t>Libraries</t>
  </si>
  <si>
    <t>Logistics &amp; Supply Chain</t>
  </si>
  <si>
    <t>Luxury Goods &amp; Jewelry</t>
  </si>
  <si>
    <t>Machinery</t>
  </si>
  <si>
    <t>Management Consulting</t>
  </si>
  <si>
    <t>Maritime</t>
  </si>
  <si>
    <t>Market Research</t>
  </si>
  <si>
    <t>Marketing &amp; Advertising</t>
  </si>
  <si>
    <t>Mechanical or Industrial Engineering</t>
  </si>
  <si>
    <t>Media Production</t>
  </si>
  <si>
    <t>Medical Device</t>
  </si>
  <si>
    <t>Medical Practice</t>
  </si>
  <si>
    <t>Mental Health Care</t>
  </si>
  <si>
    <t>Yes</t>
  </si>
  <si>
    <t>Military</t>
  </si>
  <si>
    <t>Mining &amp; Metals</t>
  </si>
  <si>
    <t>Motion Pictures &amp; Film</t>
  </si>
  <si>
    <t>Museums and Institutions</t>
  </si>
  <si>
    <t>Music</t>
  </si>
  <si>
    <t>Nanotechnology</t>
  </si>
  <si>
    <t>Newspapers</t>
  </si>
  <si>
    <t>Non-profit Organization Management</t>
  </si>
  <si>
    <t>Oil &amp; Energy</t>
  </si>
  <si>
    <t>Online Media</t>
  </si>
  <si>
    <t>Outsourcing/Offshoring</t>
  </si>
  <si>
    <t>Package/Freight Delivery</t>
  </si>
  <si>
    <t>Packaging and Containers</t>
  </si>
  <si>
    <t>Paper &amp; Forest Products</t>
  </si>
  <si>
    <t>Performing Arts</t>
  </si>
  <si>
    <t>Pharmaceuticals</t>
  </si>
  <si>
    <t>Philanthropy</t>
  </si>
  <si>
    <t>Photography</t>
  </si>
  <si>
    <t>Plastics</t>
  </si>
  <si>
    <t>Political Organization</t>
  </si>
  <si>
    <t>Primary/Secondary Education</t>
  </si>
  <si>
    <t>Printing</t>
  </si>
  <si>
    <t>Professional Training &amp; Coaching</t>
  </si>
  <si>
    <t>Program Development</t>
  </si>
  <si>
    <t>Public Policy</t>
  </si>
  <si>
    <t>Public Relations and Communications</t>
  </si>
  <si>
    <t>Public Safety</t>
  </si>
  <si>
    <t>Publishing</t>
  </si>
  <si>
    <t>Railroad Manufacture</t>
  </si>
  <si>
    <t>Ranching</t>
  </si>
  <si>
    <t>Real Estate</t>
  </si>
  <si>
    <t>Recreational Facilities &amp; Services</t>
  </si>
  <si>
    <t>Religious Institutions</t>
  </si>
  <si>
    <t>Renewables &amp; Envirnoment</t>
  </si>
  <si>
    <t>Research</t>
  </si>
  <si>
    <t>Restaurants</t>
  </si>
  <si>
    <t>Retail</t>
  </si>
  <si>
    <t>Security &amp; Investigations</t>
  </si>
  <si>
    <t>Semiconducs</t>
  </si>
  <si>
    <t>Shipbuilding</t>
  </si>
  <si>
    <t>Sporting Goods</t>
  </si>
  <si>
    <t>Staffing &amp; Recruiting</t>
  </si>
  <si>
    <t>Supermarkets</t>
  </si>
  <si>
    <t>Overall Ratings</t>
  </si>
  <si>
    <t>Telecommunications</t>
  </si>
  <si>
    <t>Textiles</t>
  </si>
  <si>
    <t>Think Thanks</t>
  </si>
  <si>
    <t>Tobacco</t>
  </si>
  <si>
    <t>Translation &amp; Localisation</t>
  </si>
  <si>
    <t>Transportation/Trucking/Railroad</t>
  </si>
  <si>
    <t>Utilities</t>
  </si>
  <si>
    <t>Venture Capital &amp; Private Equity</t>
  </si>
  <si>
    <t>Veterinary</t>
  </si>
  <si>
    <t>Warehousing</t>
  </si>
  <si>
    <t>Wholesale</t>
  </si>
  <si>
    <t>Wine &amp; Spirits</t>
  </si>
  <si>
    <t>Wireless</t>
  </si>
  <si>
    <t>Writing &amp; Editing</t>
  </si>
  <si>
    <t>Scaled Sum</t>
  </si>
  <si>
    <t>Rev</t>
  </si>
  <si>
    <t>burn_date</t>
  </si>
  <si>
    <t>&lt; $100K</t>
  </si>
  <si>
    <t>Max</t>
  </si>
  <si>
    <t>Min</t>
  </si>
  <si>
    <t>$5M - $6M</t>
  </si>
  <si>
    <t>$6M - $7M</t>
  </si>
  <si>
    <t>$7M - $8M</t>
  </si>
  <si>
    <t>$9M - $10M</t>
  </si>
  <si>
    <t>&gt; $10M</t>
  </si>
  <si>
    <t>StorEn Technologies</t>
  </si>
  <si>
    <t>https://www.startengine.com/storen-technologies</t>
  </si>
  <si>
    <t>https://www.sec.gov/Archives/edgar/data/1720258/000166516019000762/xslC_X01/primary_doc.xml</t>
  </si>
  <si>
    <t>Palouse Ag-Drone Services</t>
  </si>
  <si>
    <t>https://www.razitall.com/pitch/the-ag-drone-an-eye-in-the-sky-for-farmers</t>
  </si>
  <si>
    <t>https://disclosurequest.com/form/palouse-ag-drone-services-llc/0001668287-18-000070/?returnURL=</t>
  </si>
  <si>
    <t>Palouse Ag-Drone Services LLC</t>
  </si>
  <si>
    <t>The Ag-Drone</t>
  </si>
  <si>
    <t>El Tinieblo International</t>
  </si>
  <si>
    <t>https://www.startengine.com/el-tinieblo-international</t>
  </si>
  <si>
    <t>https://www.sec.gov/Archives/edgar/data/1765620/000166516019000777/xslC_X01/primary_doc.xml</t>
  </si>
  <si>
    <t xml:space="preserve">El Tinieblo International, Inc. </t>
  </si>
  <si>
    <t>Spero CBD</t>
  </si>
  <si>
    <t>https://www.startengine.com/spero-cbd</t>
  </si>
  <si>
    <t>https://www.sec.gov/Archives/edgar/data/1777377/000166516019000782/xslC_X01/primary_doc.xml</t>
  </si>
  <si>
    <t>Noble Naturals</t>
  </si>
  <si>
    <t>Rayton Solar</t>
  </si>
  <si>
    <t>https://www.startengine.com/raytonone</t>
  </si>
  <si>
    <t>https://www.sec.gov/Archives/edgar/data/1654124/000166516019000786/xslC_X01/primary_doc.xml</t>
  </si>
  <si>
    <t>Rayton Solar Inc.</t>
  </si>
  <si>
    <t>Rayton</t>
  </si>
  <si>
    <t>valuations</t>
  </si>
  <si>
    <t/>
  </si>
  <si>
    <t>The Human Baton</t>
  </si>
  <si>
    <t>https://netcapital.com/companies/thb</t>
  </si>
  <si>
    <t>https://www.sec.gov/Archives/edgar/data/1782663/000166919119000236/xslC_X01/primary_doc.xml</t>
  </si>
  <si>
    <t>THB Holdco, LLC.</t>
  </si>
  <si>
    <t>Thalia Brands</t>
  </si>
  <si>
    <t>https://www.startengine.com/thalia</t>
  </si>
  <si>
    <t>Thalia Brands, Inc.</t>
  </si>
  <si>
    <t>Dome Audio</t>
  </si>
  <si>
    <t>https://netcapital.com/companies/dome-audio</t>
  </si>
  <si>
    <t>https://www.sec.gov/Archives/edgar/data/1781955/000166919119000259/xslC_X01/primary_doc.xml</t>
  </si>
  <si>
    <t>Dome Audio, Inc.</t>
  </si>
  <si>
    <t>kulaBrands</t>
  </si>
  <si>
    <t>https://us.trucrowd.com/equity/offer-summary/kulaBrands</t>
  </si>
  <si>
    <t>https://www.sec.gov/Archives/edgar/data/1706939/000170693919000002/xslC_X01/primary_doc.xml</t>
  </si>
  <si>
    <t>kulaBrands, Inc.</t>
  </si>
  <si>
    <t>Axleai</t>
  </si>
  <si>
    <t>https://republic.co/axle-ai</t>
  </si>
  <si>
    <t>https://www.sec.gov/Archives/edgar/data/1752964/000175296420000003/xslC_X01/primary_doc.xml</t>
  </si>
  <si>
    <t>Axle AI, Inc.</t>
  </si>
  <si>
    <t>Axle.ai</t>
  </si>
  <si>
    <t>Bruno Albouze, Inc.</t>
  </si>
  <si>
    <t>https://www.startengine.com/bruno-albouze-inc</t>
  </si>
  <si>
    <t>https://www.sec.gov/Archives/edgar/data/1806624/000166516020000225/xslC_X01/primary_doc.xml</t>
  </si>
  <si>
    <t>Bruno Albouze Inc.</t>
  </si>
  <si>
    <t>Bruno Albouze</t>
  </si>
  <si>
    <t>FIREPIE</t>
  </si>
  <si>
    <t>https://wefunder.com/firepie</t>
  </si>
  <si>
    <t>https://www.sec.gov/Archives/edgar/data/1802409/000167025420000099/xslC_X01/primary_doc.xml</t>
  </si>
  <si>
    <t>Fasty Fresh, Inc.</t>
  </si>
  <si>
    <t>R3 Printing</t>
  </si>
  <si>
    <t>https://www.startengine.com/r3printinginc</t>
  </si>
  <si>
    <t>https://www.sec.gov/Archives/edgar/data/1736388/000166516020000248/xslC_X01/primary_doc.xml</t>
  </si>
  <si>
    <t>R3 Printing, Inc.</t>
  </si>
  <si>
    <t>Our Life Foods</t>
  </si>
  <si>
    <t>https://app.microventures.com/crowdfunding/a-cajun-life</t>
  </si>
  <si>
    <t>https://www.sec.gov/Archives/edgar/data/1689683/000168968320000002/xslC_X01/primary_doc.xml</t>
  </si>
  <si>
    <t>Our Life Foods, Inc.</t>
  </si>
  <si>
    <t>Penny Luck Shoes, Inc.</t>
  </si>
  <si>
    <t>https://www.startengine.com/penny-luck</t>
  </si>
  <si>
    <t>https://www.sec.gov/Archives/edgar/data/1807032/000166516020000258/xslC_X01/primary_doc.xml</t>
  </si>
  <si>
    <t>Penny Luck Shoes</t>
  </si>
  <si>
    <t>Ouro Goods</t>
  </si>
  <si>
    <t>https://www.startengine.com/younggodbrands</t>
  </si>
  <si>
    <t>https://www.sec.gov/Archives/edgar/data/1805193/000166516020000251/xslC_X01/primary_doc.xml</t>
  </si>
  <si>
    <t>Young God INC.</t>
  </si>
  <si>
    <t>Lifograph</t>
  </si>
  <si>
    <t>https://wefunder.com/lifograph</t>
  </si>
  <si>
    <t>https://www.sec.gov/Archives/edgar/data/1776308/000167025420000084/xslC_X01/primary_doc.xml</t>
  </si>
  <si>
    <t>LIFOGRAPH, INC.</t>
  </si>
  <si>
    <t>Wearwell</t>
  </si>
  <si>
    <t>https://republic.co/wearwell</t>
  </si>
  <si>
    <t>https://www.sec.gov/Archives/edgar/data/1799584/000179958420000003/xslC_X01/primary_doc.xml</t>
  </si>
  <si>
    <t>Wearwell, Inc.</t>
  </si>
  <si>
    <t>Jetoptera</t>
  </si>
  <si>
    <t>Microventures</t>
  </si>
  <si>
    <t>https://app.microventures.com/crowdfunding/jetoptera</t>
  </si>
  <si>
    <t>https://www.sec.gov/Archives/edgar/data/1708246/000170824620000001/xslC_X01/primary_doc.xml</t>
  </si>
  <si>
    <t>Jetoptera, Inc.</t>
  </si>
  <si>
    <t>Mevo</t>
  </si>
  <si>
    <t>https://wefunder.com/mevo</t>
  </si>
  <si>
    <t>https://www.sec.gov/Archives/edgar/data/1806364/000167025420000189/xslC_X01/primary_doc.xml</t>
  </si>
  <si>
    <t>Mevo, Inc.</t>
  </si>
  <si>
    <t>TrustFund</t>
  </si>
  <si>
    <t>https://netcapital.com/companies/trustfund</t>
  </si>
  <si>
    <t>https://www.sec.gov/Archives/edgar/data/1803906/000166919120000138/xslC_X01/primary_doc.xml</t>
  </si>
  <si>
    <t>Impact X Partners, LLC</t>
  </si>
  <si>
    <t>GRIT BXNG</t>
  </si>
  <si>
    <t>https://republic.co/grit</t>
  </si>
  <si>
    <t>https://www.sec.gov/Archives/edgar/data/1759403/000121390020007152/xslC_X01/primary_doc.xml</t>
  </si>
  <si>
    <t>Work Hard Play Hard Train Hard, Inc.</t>
  </si>
  <si>
    <t>SideHustle App</t>
  </si>
  <si>
    <t>https://wefunder.com/sidehustle.app</t>
  </si>
  <si>
    <t>https://www.sec.gov/Archives/edgar/data/1789874/000167025420000184/xslC_X01/primary_doc.xml</t>
  </si>
  <si>
    <t>SideHustle App Inc</t>
  </si>
  <si>
    <t>Kazoo</t>
  </si>
  <si>
    <t>https://wefunder.com/kazoo</t>
  </si>
  <si>
    <t>https://www.sec.gov/Archives/edgar/data/1776458/000167025420000119/xslC_X01/primary_doc.xml</t>
  </si>
  <si>
    <t>Kazoo LLC</t>
  </si>
  <si>
    <t>Next Door Photos</t>
  </si>
  <si>
    <t>https://wefunder.com/next.door.photos</t>
  </si>
  <si>
    <t>https://www.sec.gov/Archives/edgar/data/1804160/000167025420000193/xslC_X01/primary_doc.xml</t>
  </si>
  <si>
    <t>3DMia, LLC</t>
  </si>
  <si>
    <t>Clear Genius</t>
  </si>
  <si>
    <t>https://www.startengine.com/clear-genius</t>
  </si>
  <si>
    <t>https://www.sec.gov/Archives/edgar/data/1804004/000166516020000276/xslC_X01/primary_doc.xml</t>
  </si>
  <si>
    <t>Clear Genius Inc.</t>
  </si>
  <si>
    <t>Infinovate</t>
  </si>
  <si>
    <t>https://netcapital.com/companies/infinovate</t>
  </si>
  <si>
    <t>https://www.sec.gov/Archives/edgar/data/1808015/000166919120000164/xslC_X01/primary_doc.xml</t>
  </si>
  <si>
    <t>Infinovate LLC</t>
  </si>
  <si>
    <t>Reflex Project</t>
  </si>
  <si>
    <t>https://republic.co/reflex-protect</t>
  </si>
  <si>
    <t>https://www.sec.gov/Archives/edgar/data/1738026/000173802620000002/xslC_X01/primary_doc.xml</t>
  </si>
  <si>
    <t>Reflex Red Storm, LLC</t>
  </si>
  <si>
    <t>Reflex Protect</t>
  </si>
  <si>
    <t>Francis</t>
  </si>
  <si>
    <t>College Coaching Network</t>
  </si>
  <si>
    <t>https://netcapital.com/companies/college-coaching-network</t>
  </si>
  <si>
    <t>https://www.sec.gov/Archives/edgar/data/1786855/000166919120000144/xslC_X01/primary_doc.xml</t>
  </si>
  <si>
    <t>College Coaching Network Inc.</t>
  </si>
  <si>
    <t>All ebt Foundation</t>
  </si>
  <si>
    <t>https://republic.co/all_ebt</t>
  </si>
  <si>
    <t>https://www.sec.gov/Archives/edgar/data/1807984/000180798420000003/xslC_X01/primary_doc.xml</t>
  </si>
  <si>
    <t>All_ebt</t>
  </si>
  <si>
    <t>CricClubs</t>
  </si>
  <si>
    <t>https://republic.co/cricclubs</t>
  </si>
  <si>
    <t>https://www.sec.gov/Archives/edgar/data/1807742/000180774220000002/xslC_X01/primary_doc.xml</t>
  </si>
  <si>
    <t>CricClubs Inc</t>
  </si>
  <si>
    <t>Indy Brand Clothing</t>
  </si>
  <si>
    <t>https://wefunder.com/indy.brand</t>
  </si>
  <si>
    <t>https://www.sec.gov/Archives/edgar/data/1804169/000167025420000181/xslC_X01/primary_doc.xml</t>
  </si>
  <si>
    <t>Indy Brand Clothing, LLC</t>
  </si>
  <si>
    <t>Solutions Vending International</t>
  </si>
  <si>
    <t>https://www.startengine.com/popcom</t>
  </si>
  <si>
    <t>https://www.sec.gov/Archives/edgar/data/1759081/000166516020000288/xslC_X01/primary_doc.xml</t>
  </si>
  <si>
    <t>Solutions Vending International, Inc.</t>
  </si>
  <si>
    <t>Iliass</t>
  </si>
  <si>
    <t>DoraHacks</t>
  </si>
  <si>
    <t>https://republic.co/dorahacks</t>
  </si>
  <si>
    <t>https://www.sec.gov/cgi-bin/browse-edgar?CIK=0001774152&amp;action=getcompany</t>
  </si>
  <si>
    <t>TWENTY-SECOND CENTURY DORA TECHNOLOGY HOLDINGS, INC.</t>
  </si>
  <si>
    <t>Dora Hacks</t>
  </si>
  <si>
    <t>Neurotez</t>
  </si>
  <si>
    <t>https://netcapital.com/companies/neurotez</t>
  </si>
  <si>
    <t>https://www.sec.gov/Archives/edgar/data/1725567/000166919119000295/xslC_X01/primary_doc.xml</t>
  </si>
  <si>
    <t>Neurotez Inc.</t>
  </si>
  <si>
    <t>Vendaval</t>
  </si>
  <si>
    <t>https://www.mrcrowd.com/company/VEND</t>
  </si>
  <si>
    <t>https://www.sec.gov/Archives/edgar/data/1785391/000178539119000001/xslC_X01/primary_doc.xml</t>
  </si>
  <si>
    <t>Vendaval Corp.</t>
  </si>
  <si>
    <t>Vendaval Corp</t>
  </si>
  <si>
    <t>Aptrea Motors</t>
  </si>
  <si>
    <t>https://wefunder.com/aptera</t>
  </si>
  <si>
    <t>https://www.sec.gov/Archives/edgar/data/1786471/000167025419000484/xslC_X01/primary_doc.xml</t>
  </si>
  <si>
    <t>Aptera Motors Corp.</t>
  </si>
  <si>
    <t>Aptera</t>
  </si>
  <si>
    <t>Scrap Connection, Inc.</t>
  </si>
  <si>
    <t>https://wefunder.com/scrap.connection.inc</t>
  </si>
  <si>
    <t>https://www.sec.gov/Archives/edgar/data/1689304/000167025419000488/xslC_X01/primary_doc.xml</t>
  </si>
  <si>
    <t>Tradefox</t>
  </si>
  <si>
    <t>The OmniPad Company</t>
  </si>
  <si>
    <t>https://www.razitall.com/pitch/revolving-tread-omnidirectional-treadmill-for-vr</t>
  </si>
  <si>
    <t>https://www.sec.gov/Archives/edgar/data/1745527/000166828719000053/xslC_X01/primary_doc.xml</t>
  </si>
  <si>
    <t>The OmniPad Company, LLC</t>
  </si>
  <si>
    <t>Omnipad</t>
  </si>
  <si>
    <t>Green Growth</t>
  </si>
  <si>
    <t>https://fundanna.com/equity/offer-summary/GreenGrowth</t>
  </si>
  <si>
    <t>https://www.sec.gov/Archives/edgar/data/1785164/000178516419000001/xslC_X01/primary_doc.xml</t>
  </si>
  <si>
    <t>Green Growth Real Estate, LLC</t>
  </si>
  <si>
    <t>Green Growth Real Estate</t>
  </si>
  <si>
    <t>earthdog, GP</t>
  </si>
  <si>
    <t>https://www.razitall.com/pitch/every-dog-s-neck-deserves-hemp-gear-from-earthdog</t>
  </si>
  <si>
    <t>https://www.sec.gov/Archives/edgar/data/1728036/000166828718000027/xslC_X01/primary_doc.xml</t>
  </si>
  <si>
    <t>Earthdog</t>
  </si>
  <si>
    <t>English for a Song</t>
  </si>
  <si>
    <t>https://www.razitall.com/pitch/transforming-adult-literacy-through-pop-music</t>
  </si>
  <si>
    <t>https://www.sec.gov/cgi-bin/browse-edgar?company=english+for+a+song&amp;owner=exclude&amp;action=getcompany</t>
  </si>
  <si>
    <t>English for a Song, Inc.</t>
  </si>
  <si>
    <t>English For a Song</t>
  </si>
  <si>
    <t>Of The North Beverage International</t>
  </si>
  <si>
    <t>https://www.razitall.com/pitch/the-new-ice-age-borealis-rare-iceberg-beer</t>
  </si>
  <si>
    <t>https://www.sec.gov/Archives/edgar/data/1738707/000166828718000034/xslC_X01/primary_doc.xml</t>
  </si>
  <si>
    <t>Of The North Beverage International Inc</t>
  </si>
  <si>
    <t>Borealis Rare Iceberg Beer</t>
  </si>
  <si>
    <t>Soar Robotics</t>
  </si>
  <si>
    <t>https://republic.co/soar-robotics</t>
  </si>
  <si>
    <t>https://www.sec.gov/Archives/edgar/data/1783015/000178301519000001/xslC_X01/primary_doc.xml</t>
  </si>
  <si>
    <t>Soar Robotics Inc.</t>
  </si>
  <si>
    <t>18th and Fairfax LLC dba Intox-Detox</t>
  </si>
  <si>
    <t>https://www.razitall.com/pitch/hangovers-suck-creating-better-tomorrows-for-all</t>
  </si>
  <si>
    <t>https://www.sec.gov/Archives/edgar/data/1786413/000166828719000041/xslC_X01/primary_doc.xml</t>
  </si>
  <si>
    <t>18th and Fairfax LLC</t>
  </si>
  <si>
    <t>Intox-Detox</t>
  </si>
  <si>
    <t>Michael Ray Galleries</t>
  </si>
  <si>
    <t>https://www.razitall.com/pitch/reclaiming-historical-sites-as-local-art-galleries</t>
  </si>
  <si>
    <t>https://www.sec.gov/Archives/edgar/data/1739088/000166828718000031/xslC_X01/primary_doc.xml</t>
  </si>
  <si>
    <t>Le Bread Xpress</t>
  </si>
  <si>
    <t>https://wefunder.com/lebreadxpress</t>
  </si>
  <si>
    <t>https://www.sec.gov/Archives/edgar/data/1685241/000167025419000443/xslC_X01/primary_doc.xml</t>
  </si>
  <si>
    <t>Le Bread Xpress, Inc.</t>
  </si>
  <si>
    <t>WeStrive</t>
  </si>
  <si>
    <t>https://wefunder.com/westrive</t>
  </si>
  <si>
    <t>https://www.sec.gov/Archives/edgar/data/1725162/000167025419000492/xslC_X01/primary_doc.xml</t>
  </si>
  <si>
    <t>PerFIcT Inc.</t>
  </si>
  <si>
    <t>Locl</t>
  </si>
  <si>
    <t>https://wefunder.com/locl</t>
  </si>
  <si>
    <t>https://www.sec.gov/Archives/edgar/data/1783629/000167025419000432/xslC_X01/primary_doc.xml</t>
  </si>
  <si>
    <t>LOCL Enterprises Inc.</t>
  </si>
  <si>
    <t>LOCL</t>
  </si>
  <si>
    <t>tinyB chocolate</t>
  </si>
  <si>
    <t>https://wefunder.com/tinybchocolate</t>
  </si>
  <si>
    <t>https://www.sec.gov/Archives/edgar/data/1785480/000167025419000464/xslC_X01/primary_doc.xml</t>
  </si>
  <si>
    <t>tinyB chocolate LLC</t>
  </si>
  <si>
    <t>Colossal</t>
  </si>
  <si>
    <t>https://wefunder.com/colossal.inc</t>
  </si>
  <si>
    <t>https://www.sec.gov/Archives/edgar/data/1785479/000167025419000452/xslC_X01/primary_doc.xml</t>
  </si>
  <si>
    <t>Colossal Inc</t>
  </si>
  <si>
    <t>Sayscape</t>
  </si>
  <si>
    <t>PromSocial</t>
  </si>
  <si>
    <t>https://wefunder.com/promsocial</t>
  </si>
  <si>
    <t>https://www.sec.gov/Archives/edgar/data/1787347/000167025419000498/xslC_X01/primary_doc.xml</t>
  </si>
  <si>
    <t>PromSocial Inc.</t>
  </si>
  <si>
    <t>See Me Live</t>
  </si>
  <si>
    <t>https://www.razitall.com/pitch/patented-see-me-live-video-platform-prelaunch</t>
  </si>
  <si>
    <t>https://www.sec.gov/Archives/edgar/data/1761058/000166828719000073/xslC_X01/primary_doc.xml</t>
  </si>
  <si>
    <t>Global 5 Media, Inc.</t>
  </si>
  <si>
    <t>SeeMeLive</t>
  </si>
  <si>
    <t>Upshift</t>
  </si>
  <si>
    <t>https://republic.co/upshift</t>
  </si>
  <si>
    <t>https://www.sec.gov/Archives/edgar/data/1722137/000172213719000002/xslC_X01/primary_doc.xml</t>
  </si>
  <si>
    <t>Upshift Inc.</t>
  </si>
  <si>
    <t>Buff Bake</t>
  </si>
  <si>
    <t>https://republic.co/buff-bake</t>
  </si>
  <si>
    <t>https://www.sec.gov/Archives/edgar/data/1724320/000172432019000002/xslC_X01/primary_doc.xml</t>
  </si>
  <si>
    <t>Buff Bake, Inc.</t>
  </si>
  <si>
    <t>World Tree</t>
  </si>
  <si>
    <t>https://wefunder.com/worldtree</t>
  </si>
  <si>
    <t>https://www.sec.gov/Archives/edgar/data/1687316/000147793220001300/xsl1-A_X01/primary_doc.xml</t>
  </si>
  <si>
    <t>World Tree USA, LLC</t>
  </si>
  <si>
    <t>AmmoSquared</t>
  </si>
  <si>
    <t>https://wefunder.com/ammosquared</t>
  </si>
  <si>
    <t>https://www.sec.gov/Archives/edgar/data/1791397/000167025419000652/xslC_X01/primary_doc.xml</t>
  </si>
  <si>
    <t>Ammosquared Inc.</t>
  </si>
  <si>
    <t>Ammosquared</t>
  </si>
  <si>
    <t>Eight Bridges Brewing</t>
  </si>
  <si>
    <t>https://www.startengine.com/eight-bridges-brewing-inc</t>
  </si>
  <si>
    <t>https://www.sec.gov/Archives/edgar/data/1791127/000166516019001157/xslC_X01/primary_doc.xml</t>
  </si>
  <si>
    <t>Eight Bridges Brewing, Inc.</t>
  </si>
  <si>
    <t>Linen App</t>
  </si>
  <si>
    <t>https://republic.co/linen</t>
  </si>
  <si>
    <t>https://www.sec.gov/Archives/edgar/data/1792508/000179250819000001/xslC_X01/primary_doc.xml</t>
  </si>
  <si>
    <t>Linen Mobile, Inc.</t>
  </si>
  <si>
    <t>Thematic</t>
  </si>
  <si>
    <t>https://app.microventures.com/crowdfunding/thematic</t>
  </si>
  <si>
    <t>https://www.sec.gov/Archives/edgar/data/1730486/000173048619000001/xslC_X01/primary_doc.xml</t>
  </si>
  <si>
    <t>Thematic, Inc.</t>
  </si>
  <si>
    <t>RehabPath</t>
  </si>
  <si>
    <t>https://republic.co/rehabpath</t>
  </si>
  <si>
    <t>https://www.sec.gov/Archives/edgar/data/1791847/000179184719000001/xslC_X01/primary_doc.xml</t>
  </si>
  <si>
    <t>RehabPath Inc.</t>
  </si>
  <si>
    <t>Grady's Cold Brew</t>
  </si>
  <si>
    <t>https://www.startengine.com/gradyscoldbrew</t>
  </si>
  <si>
    <t>https://www.sec.gov/Archives/edgar/data/1791739/000166516019001160/xslC_X01/primary_doc.xml</t>
  </si>
  <si>
    <t>Gradys Cold Brew, Inc.</t>
  </si>
  <si>
    <t>Gradys Cold Brew</t>
  </si>
  <si>
    <t>PhorMed</t>
  </si>
  <si>
    <t>https://www.startengine.com/phormed</t>
  </si>
  <si>
    <t>https://www.sec.gov/Archives/edgar/data/1796036/000166516019001165/xslC_X01/primary_doc.xml</t>
  </si>
  <si>
    <t>Phormed Inc</t>
  </si>
  <si>
    <t>StartEngine Crowdfunding</t>
  </si>
  <si>
    <t>https://us.trucrowd.com/equity/offer-summary/StartEngine2</t>
  </si>
  <si>
    <t>https://www.sec.gov/Archives/edgar/data/1661779/000110465920032595/xslC_X01/primary_doc.xml</t>
  </si>
  <si>
    <t>STARTENGINE CROWDFUNDING, INC.</t>
  </si>
  <si>
    <t>Dented Brick Distillery</t>
  </si>
  <si>
    <t>https://wefunder.com/dented.brick.distillery</t>
  </si>
  <si>
    <t>https://www.sec.gov/Archives/edgar/data/1629933/000167025419000557/xslC_X01/primary_doc.xml</t>
  </si>
  <si>
    <t>Salt Lake City Distillery LLC</t>
  </si>
  <si>
    <t>Shark Wheel</t>
  </si>
  <si>
    <t>https://wefunder.com/sharkwheel</t>
  </si>
  <si>
    <t>https://www.sec.gov/Archives/edgar/data/1709539/000167025420000070/xslC_X01/primary_doc.xml</t>
  </si>
  <si>
    <t>Shark Wheel, Inc.</t>
  </si>
  <si>
    <t>Hive</t>
  </si>
  <si>
    <t>https://republic.co/hive</t>
  </si>
  <si>
    <t>https://www.sec.gov/Archives/edgar/data/1702371/000170237119000002/xslC_X01/primary_doc.xml</t>
  </si>
  <si>
    <t>Hive Companies, Inc.</t>
  </si>
  <si>
    <t>Back To Space</t>
  </si>
  <si>
    <t>https://wefunder.com/back.to.space</t>
  </si>
  <si>
    <t>https://www.sec.gov/Archives/edgar/data/1792907/000167025419000675/xslC_X01/primary_doc.xml</t>
  </si>
  <si>
    <t>Back To Space, LLC</t>
  </si>
  <si>
    <t>yes</t>
  </si>
  <si>
    <t>Atlis Motor Vehicles</t>
  </si>
  <si>
    <t>https://www.startengine.com/atlis-motor-vehicles-3</t>
  </si>
  <si>
    <t>https://www.sec.gov/Archives/edgar/data/1722969/000166516019001173/xslC_X01/primary_doc.xml</t>
  </si>
  <si>
    <t>Atlis Motor Vehicle Inc.</t>
  </si>
  <si>
    <t>Crafthouse Cocktails</t>
  </si>
  <si>
    <t>https://wefunder.com/crafthouse.cocktails</t>
  </si>
  <si>
    <t>https://www.sec.gov/Archives/edgar/data/1788204/000167025419000640/xslC_X01/primary_doc.xml</t>
  </si>
  <si>
    <t>Stanton South, LLC</t>
  </si>
  <si>
    <t>Delee</t>
  </si>
  <si>
    <t>https://republic.co/delee</t>
  </si>
  <si>
    <t>https://www.sec.gov/Archives/edgar/data/1790674/000179067419000002/xslC_X01/primary_doc.xml</t>
  </si>
  <si>
    <t>Delee Corp</t>
  </si>
  <si>
    <t>Billion Vegans</t>
  </si>
  <si>
    <t>https://wefunder.com/billionvegans</t>
  </si>
  <si>
    <t>https://www.sec.gov/Archives/edgar/data/1751794/000167025419000606/xslC_X01/primary_doc.xml</t>
  </si>
  <si>
    <t>Billion Vegans Inc.</t>
  </si>
  <si>
    <t>Story2</t>
  </si>
  <si>
    <t>https://republic.co/story2</t>
  </si>
  <si>
    <t>https://www.sec.gov/Archives/edgar/data/1617797/000146581819000035/xslC_X01/primary_doc.xml</t>
  </si>
  <si>
    <t>Story to College, LLC</t>
  </si>
  <si>
    <t>Akibah Health</t>
  </si>
  <si>
    <t>https://www.startengine.com/akibah-health</t>
  </si>
  <si>
    <t>https://www.sec.gov/Archives/edgar/data/1701666/000166516019001181/xslC_X01/primary_doc.xml</t>
  </si>
  <si>
    <t>Akibah Health Corporation</t>
  </si>
  <si>
    <t>Robovet</t>
  </si>
  <si>
    <t>https://wefunder.com/robovet</t>
  </si>
  <si>
    <t>https://www.sec.gov/Archives/edgar/data/1789108/000167025419000694/xslC_X01/primary_doc.xml</t>
  </si>
  <si>
    <t>Robovet Corporation</t>
  </si>
  <si>
    <t>Genobank.io</t>
  </si>
  <si>
    <t>https://republic.co/genobank-io</t>
  </si>
  <si>
    <t>https://www.sec.gov/Archives/edgar/data/1780122/000178012219000003/xslC_X01/primary_doc.xml</t>
  </si>
  <si>
    <t>Genobank.io Inc</t>
  </si>
  <si>
    <t>Hempazon</t>
  </si>
  <si>
    <t>https://fundanna.com/equity/offer-summary/Hempazon</t>
  </si>
  <si>
    <t>https://www.sec.gov/Archives/edgar/data/1799231/000179923120000001/xslC_X01/primary_doc.xml</t>
  </si>
  <si>
    <t>HAZN, Inc</t>
  </si>
  <si>
    <t>Fleeting</t>
  </si>
  <si>
    <t>https://republic.co/fleeting</t>
  </si>
  <si>
    <t>https://www.sec.gov/Archives/edgar/data/1779318/000177931820000002/xslC_X01/primary_doc.xml</t>
  </si>
  <si>
    <t>Fleeting,Inc.</t>
  </si>
  <si>
    <t>LaneAxis</t>
  </si>
  <si>
    <t>https://www.startengine.com/laneaxis-inc</t>
  </si>
  <si>
    <t>https://www.sec.gov/Archives/edgar/data/1702255/000166516020000149/xslC_X01/primary_doc.xml</t>
  </si>
  <si>
    <t>LaneAxis, Inc.</t>
  </si>
  <si>
    <t>SunState Laboratories</t>
  </si>
  <si>
    <t>https://wefunder.com/sunstate.laboratories</t>
  </si>
  <si>
    <t>https://www.sec.gov/Archives/edgar/data/1800204/000167025420000055/xslC_X01/primary_doc.xml</t>
  </si>
  <si>
    <t>SunState Laboratories, Inc.</t>
  </si>
  <si>
    <t>ILLUSIO</t>
  </si>
  <si>
    <t>https://equifundcfp.com/illusio/</t>
  </si>
  <si>
    <t>https://www.sec.gov/Archives/edgar/data/1792754/000179275419000003/xslC_X01/primary_doc.xml</t>
  </si>
  <si>
    <t>Illusio, Inc.</t>
  </si>
  <si>
    <t>Illusio</t>
  </si>
  <si>
    <t>Roula</t>
  </si>
  <si>
    <t>https://app.microventures.com/crowdfunding/roula</t>
  </si>
  <si>
    <t>https://www.sec.gov/Archives/edgar/data/1801721/000180172120000001/xslC_X01/primary_doc.xml</t>
  </si>
  <si>
    <t>Veltrav LLC</t>
  </si>
  <si>
    <t>Roula.cc</t>
  </si>
  <si>
    <t>Mighty Quinn's Barbeque</t>
  </si>
  <si>
    <t>https://www.seedinvest.com/mightyquinns/series.b</t>
  </si>
  <si>
    <t>https://www.sec.gov/Archives/edgar/data/1777476/000177747620000001/xslC_X01/primary_doc.xml</t>
  </si>
  <si>
    <t>Mighty Quinn's Holdings LLC</t>
  </si>
  <si>
    <t>Mighty Quinn's Barbecue</t>
  </si>
  <si>
    <t>Sienna Sauce</t>
  </si>
  <si>
    <t>https://republic.co/sienna-sauce</t>
  </si>
  <si>
    <t>https://www.sec.gov/Archives/edgar/data/1802465/000180246520000002/xslC_X01/primary_doc.xml</t>
  </si>
  <si>
    <t>Tyla-Simone's Wings LLC</t>
  </si>
  <si>
    <t>Skinz.gg</t>
  </si>
  <si>
    <t>https://www.startengine.com/skinzgg</t>
  </si>
  <si>
    <t>https://www.sec.gov/Archives/edgar/data/1795715/000166516020000155/xslC_X01/primary_doc.xml</t>
  </si>
  <si>
    <t>Skinz Inc</t>
  </si>
  <si>
    <t>Biopact</t>
  </si>
  <si>
    <t>https://equifundcfp.com/biopact-ct/</t>
  </si>
  <si>
    <t>https://www.sec.gov/Archives/edgar/data/1797565/000179756520000001/xslC_X01/primary_doc.xml</t>
  </si>
  <si>
    <t>BioPact Cellular Transport, Inc.</t>
  </si>
  <si>
    <t>BioPact CT</t>
  </si>
  <si>
    <t>eCarra</t>
  </si>
  <si>
    <t>https://wefunder.com/ecarra</t>
  </si>
  <si>
    <t>https://www.sec.gov/Archives/edgar/data/1800212/000167025420000016/xslC_X01/primary_doc.xml</t>
  </si>
  <si>
    <t>eCarra, LLC</t>
  </si>
  <si>
    <t>Zelgor</t>
  </si>
  <si>
    <t>https://netcapital.com/companies/zelgor</t>
  </si>
  <si>
    <t>https://www.sec.gov/Archives/edgar/data/1674612/000166919120000078/xslC_X01/primary_doc.xml</t>
  </si>
  <si>
    <t>Zelgor Inc</t>
  </si>
  <si>
    <t>Reset IV</t>
  </si>
  <si>
    <t>https://www.startengine.com/reset-iv</t>
  </si>
  <si>
    <t>https://www.sec.gov/Archives/edgar/data/1800753/000166516020000164/xslC_X01/primary_doc.xml</t>
  </si>
  <si>
    <t>Reset IV Inc.</t>
  </si>
  <si>
    <t>Epilog AI</t>
  </si>
  <si>
    <t>https://www.startengine.com/epilog</t>
  </si>
  <si>
    <t>https://www.sec.gov/Archives/edgar/data/1783128/000166516020000167/xslC_X01/primary_doc.xml</t>
  </si>
  <si>
    <t>Epilog Imaging Systems, Inc.</t>
  </si>
  <si>
    <t>Anthony's Cookies</t>
  </si>
  <si>
    <t>https://www.sec.gov/Archives/edgar/data/1802761/000167025420000116/xslC_X01/primary_doc.xml</t>
  </si>
  <si>
    <t>Anthony's Cookies, Inc</t>
  </si>
  <si>
    <t>Melanoid Exchange</t>
  </si>
  <si>
    <t>https://buytheblock.com/campaign/melanoid-exchange-is-offering-the-crowd-an-opportunity-to-invest-in-a-mobile-ecommercebooking-platform-dedicated-to-connecting-entrepreneurs-of-color-with-the-world</t>
  </si>
  <si>
    <t>https://www.sec.gov/Archives/edgar/data/1803861/000180386120000002/xslC_X01/primary_doc.xml</t>
  </si>
  <si>
    <t>Melanoid Exchange LLC</t>
  </si>
  <si>
    <t>Roots &amp; Vine Produce and Café</t>
  </si>
  <si>
    <t>https://buytheblock.com/campaign/connecting-farmers-to-people-reconnecting-people-to-real-food-1</t>
  </si>
  <si>
    <t>https://www.sec.gov/Archives/edgar/data/1752109/000175210920000003/xslC_X01/primary_doc.xml</t>
  </si>
  <si>
    <t>Roots &amp; Vine Produce &amp; Cafe, Inc.</t>
  </si>
  <si>
    <t>Roots &amp; Vine Produce &amp; Cafe</t>
  </si>
  <si>
    <t>Yahyn</t>
  </si>
  <si>
    <t>https://netcapital.com/companies/yahyn</t>
  </si>
  <si>
    <t>https://www.sec.gov/Archives/edgar/data/1803793/000166919120000084/xslC_X01/primary_doc.xml</t>
  </si>
  <si>
    <t>Puro Trader, Inc</t>
  </si>
  <si>
    <t>Teooh</t>
  </si>
  <si>
    <t>https://republic.co/teooh</t>
  </si>
  <si>
    <t>https://www.sec.gov/Archives/edgar/data/1802096/000180209620000006/xslC_X01/primary_doc.xml</t>
  </si>
  <si>
    <t>Teooh, Inc</t>
  </si>
  <si>
    <t>Blue</t>
  </si>
  <si>
    <t>https://republic.co/blue</t>
  </si>
  <si>
    <t>https://www.sec.gov/Archives/edgar/data/1690474/000169047420000002/xslC_X01/primary_doc.xml</t>
  </si>
  <si>
    <t>Follow-Mee, Inc.</t>
  </si>
  <si>
    <t>Asarasi</t>
  </si>
  <si>
    <t>https://republic.co/asarasi</t>
  </si>
  <si>
    <t>https://www.sec.gov/Archives/edgar/data/1749594/000174959420000001/xslC_X01/primary_doc.xml</t>
  </si>
  <si>
    <t>Asarasi, Inc.</t>
  </si>
  <si>
    <t>Hearo.Live</t>
  </si>
  <si>
    <t>https://republic.co/hearo-live</t>
  </si>
  <si>
    <t>https://www.sec.gov/Archives/edgar/data/1793079/000179307920000001/xslC_X01/primary_doc.xml</t>
  </si>
  <si>
    <t>PiQPiQ, Inc.</t>
  </si>
  <si>
    <t>Open Box Buy</t>
  </si>
  <si>
    <t>https://www.startengine.com/openboxbuy</t>
  </si>
  <si>
    <t>https://www.sec.gov/Archives/edgar/data/1761248/000166516020000187/xslC_X01/primary_doc.xml</t>
  </si>
  <si>
    <t>Open Box Buy Corp</t>
  </si>
  <si>
    <t>Karaganda</t>
  </si>
  <si>
    <t>https://www.startengine.com/karaganda</t>
  </si>
  <si>
    <t>https://www.sec.gov/Archives/edgar/data/1758617/000166516019001233/xslC_X01/primary_doc.xml</t>
  </si>
  <si>
    <t>Karaganda, LLC</t>
  </si>
  <si>
    <t>GURU by MSBAI</t>
  </si>
  <si>
    <t>https://www.startengine.com/msbai</t>
  </si>
  <si>
    <t>https://www.sec.gov/Archives/edgar/data/1762827/000166516020000129/xslC_X01/primary_doc.xml</t>
  </si>
  <si>
    <t>microsurgeonbot, Inc</t>
  </si>
  <si>
    <t>MSBAI</t>
  </si>
  <si>
    <t>QwikLeaf</t>
  </si>
  <si>
    <t>https://fundanna.com/equity/offer-summary/QwikLeaf</t>
  </si>
  <si>
    <t>https://www.sec.gov/Archives/edgar/data/1765252/000176525220000002/xslC_X01/primary_doc.xml</t>
  </si>
  <si>
    <t>QWIKLEAF LLC</t>
  </si>
  <si>
    <t>WaterRR</t>
  </si>
  <si>
    <t>https://www.startengine.com/waterrr-inc</t>
  </si>
  <si>
    <t>https://www.sec.gov/Archives/edgar/data/1769308/000166516020000048/xslC_X01/primary_doc.xml</t>
  </si>
  <si>
    <t>WaterRR, Inc.</t>
  </si>
  <si>
    <t>81-c</t>
  </si>
  <si>
    <t>https://www.startengine.com/81-c</t>
  </si>
  <si>
    <t>https://www.sec.gov/Archives/edgar/data/1769670/000166516020000188/xslC_X01/primary_doc.xml</t>
  </si>
  <si>
    <t>81-c, Inc.</t>
  </si>
  <si>
    <t>Trella Technologies</t>
  </si>
  <si>
    <t>https://www.startengine.com/trella</t>
  </si>
  <si>
    <t>https://www.sec.gov/Archives/edgar/data/1767862/000166516020000104/xslC_X01/primary_doc.xml</t>
  </si>
  <si>
    <t>Trella Technologies LLC</t>
  </si>
  <si>
    <t>Como Audio</t>
  </si>
  <si>
    <t>https://wefunder.com/como.audio</t>
  </si>
  <si>
    <t>https://www.sec.gov/Archives/edgar/data/1771429/000167025419000123/xslC_X01/primary_doc.xml</t>
  </si>
  <si>
    <t>Como Audio, Inc.</t>
  </si>
  <si>
    <t>Shira Productions</t>
  </si>
  <si>
    <t>https://www.razitall.com/pitch/life-after-heart-transplant-a-documentary</t>
  </si>
  <si>
    <t>https://www.sec.gov/Archives/edgar/data/1771389/000166828719000009/xslC_X01/primary_doc.xml</t>
  </si>
  <si>
    <t>Shira Productions, LLC</t>
  </si>
  <si>
    <t>Simpkins E-Bikes</t>
  </si>
  <si>
    <t>https://www.razitall.com/pitch/simpkins-electric-bicycles</t>
  </si>
  <si>
    <t>https://www.sec.gov/Archives/edgar/data/1772701/000166828719000011/xslC_X01/primary_doc.xml</t>
  </si>
  <si>
    <t>Simpkins E-Bikes, Inc.</t>
  </si>
  <si>
    <t>NovoMoto</t>
  </si>
  <si>
    <t>https://wefunder.com/novomoto</t>
  </si>
  <si>
    <t>https://www.sec.gov/Archives/edgar/data/1796364/000167025419000730/xslC_X01/primary_doc.xml</t>
  </si>
  <si>
    <t>Novomoto LLC</t>
  </si>
  <si>
    <t>Novomoto</t>
  </si>
  <si>
    <t>Oodles Corporation</t>
  </si>
  <si>
    <t>https://wefunder.com/oodles</t>
  </si>
  <si>
    <t>https://www.sec.gov/Archives/edgar/data/1707572/000167025419000728/xslC_X01/primary_doc.xml</t>
  </si>
  <si>
    <t>Oodles</t>
  </si>
  <si>
    <t>Narrative Food</t>
  </si>
  <si>
    <t>https://wefunder.com/narrative.food</t>
  </si>
  <si>
    <t>https://www.sec.gov/Archives/edgar/data/1783627/000167025419000534/xslC_X01/primary_doc.xml</t>
  </si>
  <si>
    <t>Out of the Box Collective, Inc.</t>
  </si>
  <si>
    <t>SecretDays</t>
  </si>
  <si>
    <t>https://www.razitall.com/pitch/an-online-ed-tech-industry-app-through-a-call</t>
  </si>
  <si>
    <t>https://www.sec.gov/Archives/edgar/data/1763898/000166828719000006/xslC_X01/primary_doc.xml</t>
  </si>
  <si>
    <t>SECRETDAYS CO</t>
  </si>
  <si>
    <t>NIRA Skin</t>
  </si>
  <si>
    <t>https://www.startengine.com/nira-skin</t>
  </si>
  <si>
    <t>https://www.sec.gov/Archives/edgar/data/1797421/000166516020000023/xslC_X01/primary_doc.xml</t>
  </si>
  <si>
    <t>Dermal Photonics Corporation</t>
  </si>
  <si>
    <t>70 Million Jobs</t>
  </si>
  <si>
    <t>https://republic.co/70-million-jobs</t>
  </si>
  <si>
    <t>https://www.sec.gov/Archives/edgar/data/1716822/000171682220000004/xslC_X01/primary_doc.xml</t>
  </si>
  <si>
    <t>70 Million Resources, Inc.</t>
  </si>
  <si>
    <t>Natural Selection</t>
  </si>
  <si>
    <t>https://republic.co/natural-selection</t>
  </si>
  <si>
    <t>https://www.sec.gov/Archives/edgar/data/1791548/000179154820000001/xslC_X01/primary_doc.xml</t>
  </si>
  <si>
    <t>Natural Selection Nutrition, LLC</t>
  </si>
  <si>
    <t>Shockwave Motors</t>
  </si>
  <si>
    <t>https://netcapital.com/companies/shockwave-motors</t>
  </si>
  <si>
    <t>https://disclosurequest.com/form/shockwave-motors-inc./0001669191-20-000006/?returnURL=</t>
  </si>
  <si>
    <t>Shockwave Motors, Inc.</t>
  </si>
  <si>
    <t>ElliptiGO</t>
  </si>
  <si>
    <t>https://www.startengine.com/elliptigo-2</t>
  </si>
  <si>
    <t>https://www.sec.gov/Archives/edgar/data/1478263/000166516020000028/xslC_X01/primary_doc.xml</t>
  </si>
  <si>
    <t>PT Motion Works, Inc.</t>
  </si>
  <si>
    <t>KulaCrate</t>
  </si>
  <si>
    <t>https://netcapital.com/companies/kula-crate</t>
  </si>
  <si>
    <t>https://disclosurequest.com/form/we-are-kula-llc/0001669191-20-000053/?returnURL=</t>
  </si>
  <si>
    <t>We Are Kula, LLC</t>
  </si>
  <si>
    <t>Thuzio</t>
  </si>
  <si>
    <t>https://republic.co/thuzio</t>
  </si>
  <si>
    <t>https://www.sec.gov/Archives/edgar/data/1554477/000155447720000002/xslC_X01/primary_doc.xml</t>
  </si>
  <si>
    <t>Thuzio, Inc.</t>
  </si>
  <si>
    <t>Baqua, Inc.</t>
  </si>
  <si>
    <t>https://www.startengine.com/baqua</t>
  </si>
  <si>
    <t>https://www.sec.gov/Archives/edgar/data/1677789/000166516020000134/xslC_X01/primary_doc.xml</t>
  </si>
  <si>
    <t>Baqua, Incorporated</t>
  </si>
  <si>
    <t>Baqua</t>
  </si>
  <si>
    <t>COLORS: Oakland</t>
  </si>
  <si>
    <t>https://wefunder.com/colors</t>
  </si>
  <si>
    <t>https://www.sec.gov/Archives/edgar/data/1788193/000167025420000074/xslC_X01/primary_doc.xml</t>
  </si>
  <si>
    <t>COLORS Oakland LLC</t>
  </si>
  <si>
    <t>Incluzion</t>
  </si>
  <si>
    <t>https://wefunder.com/incluzion</t>
  </si>
  <si>
    <t>https://www.sec.gov/Archives/edgar/data/1713366/000167025419000673/xslC_X01/primary_doc.xml</t>
  </si>
  <si>
    <t>Spendwith Corp dba Incluzion</t>
  </si>
  <si>
    <t>Politiscope</t>
  </si>
  <si>
    <t>https://www.seedinvest.com/politiscope/seed/highlights</t>
  </si>
  <si>
    <t>https://www.sec.gov/Archives/edgar/data/1722138/000172213820000001/xslC_X01/primary_doc.xml</t>
  </si>
  <si>
    <t>Politiscope, Inc.</t>
  </si>
  <si>
    <t>Tuffy Packs, Inc.</t>
  </si>
  <si>
    <t>https://www.startengine.com/tuffypacks</t>
  </si>
  <si>
    <t>https://www.sec.gov/Archives/edgar/data/1804340/000166516020000233/xslC_X01/primary_doc.xml</t>
  </si>
  <si>
    <t>Tuffy Packs</t>
  </si>
  <si>
    <t>Slash Haircare</t>
  </si>
  <si>
    <t>https://fundopolis.com/raisedetails?id=4977250b-c81b-4947-a175-c0b0b037f097</t>
  </si>
  <si>
    <t>https://www.sec.gov/Archives/edgar/data/1754733/000178043920000009/xslC_X01/primary_doc.xml</t>
  </si>
  <si>
    <t>Slash Beauty Inc.</t>
  </si>
  <si>
    <t>FLUUX</t>
  </si>
  <si>
    <t>https://www.seedinvest.com/fluux/pre.seed/highlights</t>
  </si>
  <si>
    <t>https://www.sec.gov/Archives/edgar/data/1803581/000180358120000002/xslC_X01/primary_doc.xml</t>
  </si>
  <si>
    <t>Fluux, Inc.</t>
  </si>
  <si>
    <t>Fluux</t>
  </si>
  <si>
    <t>KapitalWise, Inc.</t>
  </si>
  <si>
    <t>https://app.microventures.com/crowdfunding/kapitalwise</t>
  </si>
  <si>
    <t>https://www.sec.gov/Archives/edgar/data/1805525/000180552520000002/xslC_X01/primary_doc.xml</t>
  </si>
  <si>
    <t>KapitalWise</t>
  </si>
  <si>
    <t>Goodwolf Feeding Company</t>
  </si>
  <si>
    <t>https://app.microventures.com/crowdfunding/goodwolf</t>
  </si>
  <si>
    <t>https://www.sec.gov/Archives/edgar/data/1805743/000180574320000002/xslC_X01/primary_doc.xml</t>
  </si>
  <si>
    <t>Goodwolf</t>
  </si>
  <si>
    <t>Calyx Cultivation Tech</t>
  </si>
  <si>
    <t>https://wefunder.com/calyx.cultivation</t>
  </si>
  <si>
    <t>https://www.sec.gov/Archives/edgar/data/1800214/000167025420000174/xslC_X01/primary_doc.xml</t>
  </si>
  <si>
    <t>Calyx Cultivation Tech. Corp.</t>
  </si>
  <si>
    <t>Pippy Sips</t>
  </si>
  <si>
    <t>https://wefunder.com/pippysips</t>
  </si>
  <si>
    <t>https://www.sec.gov/Archives/edgar/data/1791400/000167025419000627/xslC_X01/primary_doc.xml</t>
  </si>
  <si>
    <t>Pippy Sips LLC</t>
  </si>
  <si>
    <t>Mindcurrent</t>
  </si>
  <si>
    <t>https://wefunder.com/mindcurrent</t>
  </si>
  <si>
    <t>https://www.sec.gov/Archives/edgar/data/1803418/000167025420000110/xslC_X01/primary_doc.xml</t>
  </si>
  <si>
    <t>Mindcurrent Inc.</t>
  </si>
  <si>
    <t>Curastory</t>
  </si>
  <si>
    <t>https://wefunder.com/fundcurastory</t>
  </si>
  <si>
    <t>https://www.sec.gov/Archives/edgar/data/1802405/000167025420000088/xslC_X01/primary_doc.xml</t>
  </si>
  <si>
    <t>Curastory Inc.</t>
  </si>
  <si>
    <t>ASK Education</t>
  </si>
  <si>
    <t>https://netcapital.com/companies/ask</t>
  </si>
  <si>
    <t>https://www.sec.gov/Archives/edgar/data/1798352/000166919120000120/xslC_X01/primary_doc.xml</t>
  </si>
  <si>
    <t>Acquire Skills and Knowledge Education Inc.</t>
  </si>
  <si>
    <t>Event Hollow</t>
  </si>
  <si>
    <t>https://republic.co/event-hollow</t>
  </si>
  <si>
    <t>https://www.sec.gov/Archives/edgar/data/1792121/000179212120000002/xslC_X01/primary_doc.xml</t>
  </si>
  <si>
    <t>Event Hollow, Inc.</t>
  </si>
  <si>
    <t>Dan</t>
  </si>
  <si>
    <t>Eclipse Diagnostics</t>
  </si>
  <si>
    <t>https://www.startengine.com/eclipsedx</t>
  </si>
  <si>
    <t>https://www.sec.gov/Archives/edgar/data/1733206/000166516020000016/xslC_X01/primary_doc.xml</t>
  </si>
  <si>
    <t>Eclipse Diagnostics, Inc.</t>
  </si>
  <si>
    <t>Plugsby</t>
  </si>
  <si>
    <t>https://www.razitall.com/pitch/the-plugsby-house-a-creative-co-living-community</t>
  </si>
  <si>
    <t>https://www.sec.gov/Archives/edgar/data/1772451/000166828719000012/xslC_X01/primary_doc.xml</t>
  </si>
  <si>
    <t>Plugsby, LLC</t>
  </si>
  <si>
    <t>Bounty0x</t>
  </si>
  <si>
    <t>https://republic.co/bounty0x</t>
  </si>
  <si>
    <t>https://www.sec.gov/Archives/edgar/data/1767762/000176776219000001/xslC_X01/primary_doc.xml</t>
  </si>
  <si>
    <t>Bounty0x, Inc.</t>
  </si>
  <si>
    <t>Core State Holdings</t>
  </si>
  <si>
    <t>https://fundanna.com/equity/offer-summary/CannaSOS</t>
  </si>
  <si>
    <t>https://www.sec.gov/Archives/edgar/data/1773714/000177371420000001/xslC_X01/primary_doc.xml</t>
  </si>
  <si>
    <t>Core State Holdings Corp.</t>
  </si>
  <si>
    <t>CannaSOS and PTP Wallet</t>
  </si>
  <si>
    <t>420 Real Estate</t>
  </si>
  <si>
    <t>https://fundanna.com/equity/offer-summary/420RealEstate</t>
  </si>
  <si>
    <t>https://www.sec.gov/Archives/edgar/data/1775091/000177509120000001/xslC_X01/primary_doc.xml</t>
  </si>
  <si>
    <t>420 Real Estate, LLC</t>
  </si>
  <si>
    <t>Connection Publishing</t>
  </si>
  <si>
    <t>https://www.mrcrowd.com/company/CP</t>
  </si>
  <si>
    <t>https://www.sec.gov/Archives/edgar/data/1773062/000166610219000015/xslC_X01/primary_doc.xml</t>
  </si>
  <si>
    <t>Connection Publishing, LLC</t>
  </si>
  <si>
    <t>EV Trail</t>
  </si>
  <si>
    <t>https://www.razitall.com/pitch/help-enable-electric-vehicle-road-travel-in-the-us</t>
  </si>
  <si>
    <t>https://www.sec.gov/Archives/edgar/data/1776148/000166828719000015/xslC_X01/primary_doc.xml</t>
  </si>
  <si>
    <t>EV Trail LLC</t>
  </si>
  <si>
    <t>KingsCrowd</t>
  </si>
  <si>
    <t>https://netcapital.com/companies/kingscrowd</t>
  </si>
  <si>
    <t>https://www.sec.gov/Archives/edgar/data/1744757/000166919120000096/xslC_X01/primary_doc.xml</t>
  </si>
  <si>
    <t>Kings Crowd LLC</t>
  </si>
  <si>
    <t>C Meyers Feldman &amp; Co</t>
  </si>
  <si>
    <t>https://crowdsourcefunded.com/offerings/13/cycles/13</t>
  </si>
  <si>
    <t>https://www.sec.gov/Archives/edgar/data/1742637/000168316819001803/xslC_X01/primary_doc.xml</t>
  </si>
  <si>
    <t>C. Meyers Feldman &amp; Co.</t>
  </si>
  <si>
    <t>CMF</t>
  </si>
  <si>
    <t>SanMelix Laboratories</t>
  </si>
  <si>
    <t>https://www.startengine.com/sanmelix</t>
  </si>
  <si>
    <t>https://www.sec.gov/Archives/edgar/data/1768911/000166516020000035/xslC_X01/primary_doc.xml</t>
  </si>
  <si>
    <t>SanMelix Laboratories, Inc.</t>
  </si>
  <si>
    <t>SanMelix</t>
  </si>
  <si>
    <t>LEAF &amp; ASH</t>
  </si>
  <si>
    <t>https://fundanna.com/equity/offer-summary/LEAFandASH</t>
  </si>
  <si>
    <t>https://www.sec.gov/Archives/edgar/data/1787023/000178702320000001/xslC_X01/primary_doc.xml</t>
  </si>
  <si>
    <t>Leat &amp; Ash LLC</t>
  </si>
  <si>
    <t>Leaf &amp; Ash</t>
  </si>
  <si>
    <t>Liberty Access Technologies</t>
  </si>
  <si>
    <t>https://www.startengine.com/liberty-plugins-inc</t>
  </si>
  <si>
    <t>https://www.sec.gov/Archives/edgar/data/1775538/000166516020000105/xslC_X01/primary_doc.xml</t>
  </si>
  <si>
    <t>Liberty PlugIns, Inc.</t>
  </si>
  <si>
    <t>SoapSox</t>
  </si>
  <si>
    <t>https://www.startengine.com/soapsox</t>
  </si>
  <si>
    <t>https://www.sec.gov/Archives/edgar/data/1777011/000166516020000152/xslC_X01/primary_doc.xml</t>
  </si>
  <si>
    <t>Phillips Entertainment Group Inc.</t>
  </si>
  <si>
    <t>Boyish Records</t>
  </si>
  <si>
    <t>https://wefunder.com/boyishrecords</t>
  </si>
  <si>
    <t>https://www.sec.gov/Archives/edgar/data/1784186/000167025419000508/xslC_X01/primary_doc.xml</t>
  </si>
  <si>
    <t>Boyish Records, Inc.</t>
  </si>
  <si>
    <t>HelloAva</t>
  </si>
  <si>
    <t>https://republic.co/helloava</t>
  </si>
  <si>
    <t>https://www.sec.gov/Archives/edgar/data/1777204/000177720419000008/xslC_X01/primary_doc.xml</t>
  </si>
  <si>
    <t>HelloAva, Inc.</t>
  </si>
  <si>
    <t>Elastico Tequila Grille Co</t>
  </si>
  <si>
    <t>https://www.razitall.com/pitch/elastico-tequila-craft-distillery-kc-bbq</t>
  </si>
  <si>
    <t>https://www.sec.gov/Archives/edgar/data/1762281/000166828719000056/xslC_X01/primary_doc.xml</t>
  </si>
  <si>
    <t>Elastic Tequila Grille Co</t>
  </si>
  <si>
    <t>Elastico Tequila Mirco Distillery</t>
  </si>
  <si>
    <t>Layali</t>
  </si>
  <si>
    <t>https://republic.co/layali</t>
  </si>
  <si>
    <t>https://www.sec.gov/Archives/edgar/data/1785176/000178517619000002/xslC_X01/primary_doc.xml</t>
  </si>
  <si>
    <t>Layali LLC</t>
  </si>
  <si>
    <t>Slumber Bump</t>
  </si>
  <si>
    <t>https://www.mrcrowd.com/company/SB</t>
  </si>
  <si>
    <t>https://www.sec.gov/Archives/edgar/data/1752095/000166610219000021/xslC_X01/primary_doc.xml</t>
  </si>
  <si>
    <t>Slumber Bump, LLC</t>
  </si>
  <si>
    <t>SelenBio</t>
  </si>
  <si>
    <t>https://netcapital.com/companies/selenbio</t>
  </si>
  <si>
    <t>https://www.sec.gov/Archives/edgar/data/1787006/000166919120000024/xslC_X01/primary_doc.xml</t>
  </si>
  <si>
    <t>SelenBio, Inc.</t>
  </si>
  <si>
    <t>Avenify</t>
  </si>
  <si>
    <t>https://republic.co/avenify</t>
  </si>
  <si>
    <t>https://www.sec.gov/Archives/edgar/data/1784191/000178419119000003/xslC_X01/primary_doc.xml</t>
  </si>
  <si>
    <t>Avenify Corp.</t>
  </si>
  <si>
    <t>Bright Global Ventures</t>
  </si>
  <si>
    <t>https://www.razitall.com/pitch/chinese-global-real-estate-investments</t>
  </si>
  <si>
    <t>https://www.sec.gov/Archives/edgar/data/1790207/000166828719000059/xslC_X01/primary_doc.xml</t>
  </si>
  <si>
    <t>Bright Global Ventures (DE), Inc.</t>
  </si>
  <si>
    <t>SunVessel</t>
  </si>
  <si>
    <t>https://wefunder.com/sunvessel</t>
  </si>
  <si>
    <t>https://www.sec.gov/Archives/edgar/data/1787345/000167025419000518/xslC_X01/primary_doc.xml</t>
  </si>
  <si>
    <t>SunVessel Corp.</t>
  </si>
  <si>
    <t>TransportationTech</t>
  </si>
  <si>
    <t>Youcanevent</t>
  </si>
  <si>
    <t>https://republic.co/youcanevent</t>
  </si>
  <si>
    <t>https://www.sec.gov/Archives/edgar/data/1782777/000178277719000002/xslC_X01/primary_doc.xml</t>
  </si>
  <si>
    <t>Youcanevent, Inc.</t>
  </si>
  <si>
    <t>Youcan</t>
  </si>
  <si>
    <t>Fisher Wallace Laboratories</t>
  </si>
  <si>
    <t>https://www.startengine.com/fisherwallace</t>
  </si>
  <si>
    <t>https://www.sec.gov/Archives/edgar/data/1787792/000166516020000009/xslC_X01/primary_doc.xml</t>
  </si>
  <si>
    <t>Fisher Wallace Laboratories, Inc.</t>
  </si>
  <si>
    <t>hobbyDB</t>
  </si>
  <si>
    <t>https://wefunder.com/hobbydb</t>
  </si>
  <si>
    <t>https://www.sec.gov/Archives/edgar/data/1706765/000167025419000538/xslC_X01/primary_doc.xml</t>
  </si>
  <si>
    <t>Hobbydb Corp</t>
  </si>
  <si>
    <t>Gravatate</t>
  </si>
  <si>
    <t>https://wefunder.com/gravatate.inc</t>
  </si>
  <si>
    <t>https://www.sec.gov/Archives/edgar/data/1787343/000167025419000530/xslC_X01/primary_doc.xml</t>
  </si>
  <si>
    <t>Gravatate, Inc.</t>
  </si>
  <si>
    <t>Chow420</t>
  </si>
  <si>
    <t>https://www.startengine.com/chow</t>
  </si>
  <si>
    <t>https://www.sec.gov/Archives/edgar/data/1784430/000166516020000130/xslC_X01/primary_doc.xml</t>
  </si>
  <si>
    <t>VLISO, Inc.</t>
  </si>
  <si>
    <t>Dapper Boi</t>
  </si>
  <si>
    <t>https://www.startengine.com/dapper-boi</t>
  </si>
  <si>
    <t>https://www.sec.gov/Archives/edgar/data/1782117/000166516020000196/xslC_X01/primary_doc.xml</t>
  </si>
  <si>
    <t>Dapper Boi, Inc.</t>
  </si>
  <si>
    <t>Clear Water Distilling</t>
  </si>
  <si>
    <t>https://www.startengine.com/clearwaterdistilling</t>
  </si>
  <si>
    <t>https://www.sec.gov/Archives/edgar/data/1785581/000166516020000230/xslC_X01/primary_doc.xml</t>
  </si>
  <si>
    <t>Clearwater Distilling Co LLC</t>
  </si>
  <si>
    <t>GoSun</t>
  </si>
  <si>
    <t>https://www.startengine.com/gosuninc</t>
  </si>
  <si>
    <t>https://www.sec.gov/Archives/edgar/data/1706024/000166516020000030/xslC_X01/primary_doc.xml</t>
  </si>
  <si>
    <t>GoSun Inc.</t>
  </si>
  <si>
    <t>Flowh</t>
  </si>
  <si>
    <t>https://us.trucrowd.com/equity/offer-summary/Flowh</t>
  </si>
  <si>
    <t>https://www.sec.gov/Archives/edgar/data/1788657/000178865720000001/xslC_X01/primary_doc.xml</t>
  </si>
  <si>
    <t>Flowh, Inc.</t>
  </si>
  <si>
    <t>CEO Space</t>
  </si>
  <si>
    <t>https://www.mrcrowd.com/company/CEO</t>
  </si>
  <si>
    <t>https://www.sec.gov/Archives/edgar/data/1789864/000166610219000026/xslC_X01/primary_doc.xml</t>
  </si>
  <si>
    <t>CEO Space International Inc.</t>
  </si>
  <si>
    <t>PlantSnap Incorporated</t>
  </si>
  <si>
    <t>https://www.startengine.com/plantsnap-inc</t>
  </si>
  <si>
    <t>https://www.sec.gov/Archives/edgar/data/1699476/000166516020000044/xslC_X01/primary_doc.xml</t>
  </si>
  <si>
    <t>PlantSnap, Inc.</t>
  </si>
  <si>
    <t>PlantSnap</t>
  </si>
  <si>
    <t>FreeRolls Entertainment</t>
  </si>
  <si>
    <t>https://wefunder.com/freerolls.poker.clubs</t>
  </si>
  <si>
    <t>https://www.sec.gov/Archives/edgar/data/1719648/000167025419000591/xslC_X01/primary_doc.xml</t>
  </si>
  <si>
    <t>Freerolls Entertainment, Inc.</t>
  </si>
  <si>
    <t>Metaiye Knights</t>
  </si>
  <si>
    <t>https://www.startengine.com/metaiyeknights</t>
  </si>
  <si>
    <t>https://www.sec.gov/Archives/edgar/data/1791992/000166516020000151/xslC_X01/primary_doc.xml</t>
  </si>
  <si>
    <t>Metai Knights Media, Inc.</t>
  </si>
  <si>
    <t>BatteryXchange</t>
  </si>
  <si>
    <t>Localstake</t>
  </si>
  <si>
    <t>https://localstake.com/businesses/batteryxchange/preview</t>
  </si>
  <si>
    <t>https://www.sec.gov/Archives/edgar/data/1792013/000179201319000001/xslC_X01/primary_doc.xml</t>
  </si>
  <si>
    <t>BatteryXchange, Inc.</t>
  </si>
  <si>
    <t>Life Imaging</t>
  </si>
  <si>
    <t>https://www.startengine.com/life-scan</t>
  </si>
  <si>
    <t>https://www.sec.gov/Archives/edgar/data/1791721/000166516020000052/xslC_X01/primary_doc.xml</t>
  </si>
  <si>
    <t>Life Imaging Fla, Inc.</t>
  </si>
  <si>
    <t>Atmos Home</t>
  </si>
  <si>
    <t>https://www.startengine.com/atmos-home</t>
  </si>
  <si>
    <t>https://www.sec.gov/Archives/edgar/data/1716903/000166516020000055/xslC_X01/primary_doc.xml</t>
  </si>
  <si>
    <t>Atmos Home Inc.</t>
  </si>
  <si>
    <t>Called Higher Studios</t>
  </si>
  <si>
    <t>https://www.startengine.com/called-higher-studios</t>
  </si>
  <si>
    <t>https://www.sec.gov/Archives/edgar/data/1786874/000166516020000063/xslC_X01/primary_doc.xml</t>
  </si>
  <si>
    <t>Called Higher Studios, Inc.</t>
  </si>
  <si>
    <t>Currency Tracking Technologies</t>
  </si>
  <si>
    <t>https://www.startengine.com/currency-tracking-technologies-llc</t>
  </si>
  <si>
    <t>https://www.sec.gov/Archives/edgar/data/1689361/000166516020000204/xslC_X01/primary_doc.xml</t>
  </si>
  <si>
    <t>Currency Tracking Technologies, LLC</t>
  </si>
  <si>
    <t>Rhino Hide</t>
  </si>
  <si>
    <t>https://www.startengine.com/rhino-hide-inc</t>
  </si>
  <si>
    <t>https://www.sec.gov/Archives/edgar/data/1744851/000166516020000047/xslC_X01/primary_doc.xml</t>
  </si>
  <si>
    <t>Rhino Hide LLC</t>
  </si>
  <si>
    <t>Rhine Hide</t>
  </si>
  <si>
    <t>Megalopolis</t>
  </si>
  <si>
    <t>https://www.startengine.com/megalopolis-city-of-collectibles</t>
  </si>
  <si>
    <t>https://www.sec.gov/Archives/edgar/data/1720886/000166516020000082/xslC_X01/primary_doc.xml</t>
  </si>
  <si>
    <t>Toy Overlord, Inc.</t>
  </si>
  <si>
    <t>Megalopolos</t>
  </si>
  <si>
    <t>Elevate Nutrition</t>
  </si>
  <si>
    <t>https://www.startengine.com/elevate-nutrition</t>
  </si>
  <si>
    <t>https://www.sec.gov/Archives/edgar/data/1791625/000166516020000054/xslC_X01/primary_doc.xml</t>
  </si>
  <si>
    <t>Elevate Nutrition Inc.</t>
  </si>
  <si>
    <t>Smart Soda</t>
  </si>
  <si>
    <t>https://www.startengine.com/smart-soda</t>
  </si>
  <si>
    <t>https://www.sec.gov/Archives/edgar/data/1792706/000166516020000143/xslC_X01/primary_doc.xml</t>
  </si>
  <si>
    <t>SmartSoda Holdings, Inc.</t>
  </si>
  <si>
    <t>The Lieu</t>
  </si>
  <si>
    <t>https://republic.co/the-lieu</t>
  </si>
  <si>
    <t>https://www.sec.gov/Archives/edgar/data/1790042/000179004220000002/xslC_X01/primary_doc.xml</t>
  </si>
  <si>
    <t>Lieu Ltd.</t>
  </si>
  <si>
    <t>Ember Fund</t>
  </si>
  <si>
    <t>https://republic.co/ember-fund</t>
  </si>
  <si>
    <t>https://www.sec.gov/Archives/edgar/data/1783580/000178358020000002/xslC_X01/primary_doc.xml</t>
  </si>
  <si>
    <t>Ember Fund LLC</t>
  </si>
  <si>
    <t>Provenance</t>
  </si>
  <si>
    <t>https://republic.co/provenance</t>
  </si>
  <si>
    <t>https://www.sec.gov/Archives/edgar/data/1789369/000178936920000001/xslC_X01/primary_doc.xml</t>
  </si>
  <si>
    <t>Clee Wellness LLC</t>
  </si>
  <si>
    <t>Wandering Barman</t>
  </si>
  <si>
    <t>https://republic.co/wandering-barman</t>
  </si>
  <si>
    <t>https://www.sec.gov/Archives/edgar/data/1706429/000170642920000001/xslC_X01/primary_doc.xml</t>
  </si>
  <si>
    <t>Wandering Barman LLC</t>
  </si>
  <si>
    <t>Apotheka Systems</t>
  </si>
  <si>
    <t>https://fundopolis.com/raisedetails?id=9cb5cc21-8150-4f49-b910-ddd18591159e</t>
  </si>
  <si>
    <t>https://www.sec.gov/Archives/edgar/data/1792908/000164460019000029/xslC_X01/primary_doc.xml</t>
  </si>
  <si>
    <t>Apotheka Systems Inc.</t>
  </si>
  <si>
    <t>Ternio BlockCard</t>
  </si>
  <si>
    <t>https://republic.co/ternio</t>
  </si>
  <si>
    <t>https://www.sec.gov/Archives/edgar/data/1730695/000173069519000005/xslC_X01/primary_doc.xml</t>
  </si>
  <si>
    <t>Ternio, LLC</t>
  </si>
  <si>
    <t>Sweetberry</t>
  </si>
  <si>
    <t>https://republic.co/sweetberry</t>
  </si>
  <si>
    <t>https://www.sec.gov/Archives/edgar/data/1764730/000173069519000004/xslC_X01/primary_doc.xml</t>
  </si>
  <si>
    <t>Sweetberry Holdings LLC</t>
  </si>
  <si>
    <t>Léon &amp; George</t>
  </si>
  <si>
    <t>https://wefunder.com/leonandgeorge</t>
  </si>
  <si>
    <t>https://www.sec.gov/Archives/edgar/data/1788672/000167025419000635/xslC_X01/primary_doc.xml</t>
  </si>
  <si>
    <t>Leon &amp; George, Inc.</t>
  </si>
  <si>
    <t>Leon &amp; George</t>
  </si>
  <si>
    <t>Growing Talent</t>
  </si>
  <si>
    <t>https://republic.co/growing-talent</t>
  </si>
  <si>
    <t>https://www.sec.gov/Archives/edgar/data/1793349/000179334920000001/xslC_X01/primary_doc.xml</t>
  </si>
  <si>
    <t>Growing Talent LLC</t>
  </si>
  <si>
    <t>Pressure Games</t>
  </si>
  <si>
    <t>https://wefunder.com/pressure.games</t>
  </si>
  <si>
    <t>https://www.sec.gov/Archives/edgar/data/1789840/000167025419000610/xslC_X01/primary_doc.xml</t>
  </si>
  <si>
    <t>Pressure Games, Inc.</t>
  </si>
  <si>
    <t>AppApp</t>
  </si>
  <si>
    <t>https://wefunder.com/appappinc</t>
  </si>
  <si>
    <t>https://www.sec.gov/Archives/edgar/data/1776303/000167025419000633/xslC_X01/primary_doc.xml</t>
  </si>
  <si>
    <t>App App, Inc.</t>
  </si>
  <si>
    <t>ChoiceTrade</t>
  </si>
  <si>
    <t>https://wunderfund.co/projects/choicetrade/</t>
  </si>
  <si>
    <t>https://www.sec.gov/Archives/edgar/data/1654300/000165430020000002/xslC_X01/primary_doc.xml</t>
  </si>
  <si>
    <t>ChoiceTrade Holdings, Inc.</t>
  </si>
  <si>
    <t>Journify</t>
  </si>
  <si>
    <t>https://www.razitall.com/pitch/journify-wellbeing-coaching-burnout-prevention</t>
  </si>
  <si>
    <t>https://www.sec.gov/Archives/edgar/data/1794263/000166828719000065/xslC_X01/primary_doc.xml</t>
  </si>
  <si>
    <t>Journify, Inc.</t>
  </si>
  <si>
    <t>Stemsation</t>
  </si>
  <si>
    <t>https://netcapital.com/companies/stemsation</t>
  </si>
  <si>
    <t>https://www.sec.gov/Archives/edgar/data/1398488/000166919120000092/xslC_X01/primary_doc.xml</t>
  </si>
  <si>
    <t>StemSation International, Inc.</t>
  </si>
  <si>
    <t>StemSation</t>
  </si>
  <si>
    <t>Attorney Et Al</t>
  </si>
  <si>
    <t>https://netcapital.com/companies/attorney-et-al</t>
  </si>
  <si>
    <t>https://www.sec.gov/Archives/edgar/data/1787611/000166919120000047/xslC_X01/primary_doc.xml</t>
  </si>
  <si>
    <t>Attorney Et Al, Inc.</t>
  </si>
  <si>
    <t>Bee Mortgage App</t>
  </si>
  <si>
    <t>https://fundopolis.com/raisedetails?id=aa091a32-310e-4491-9f4f-ca7a340b643a</t>
  </si>
  <si>
    <t>https://www.sec.gov/Archives/edgar/data/1793384/000164460019000027/xslC_X01/primary_doc.xml</t>
  </si>
  <si>
    <t>Bee Mortgage App, Inc.</t>
  </si>
  <si>
    <t>Peeka VR</t>
  </si>
  <si>
    <t>https://fundopolis.com/raisedetails?id=44bcab46-eae2-4662-acd1-f01b84d958ff</t>
  </si>
  <si>
    <t>https://www.sec.gov/Archives/edgar/data/1794562/000178043920000007/xslC_X01/primary_doc.xml</t>
  </si>
  <si>
    <t>Peeka</t>
  </si>
  <si>
    <t>Blue Top Brand</t>
  </si>
  <si>
    <t>https://www.nextseed.com/offerings/blue-top</t>
  </si>
  <si>
    <t>https://www.sec.gov/Archives/edgar/data/1787976/000178797619000007/xslC_X01/primary_doc.xml</t>
  </si>
  <si>
    <t>7 of Us, LLC</t>
  </si>
  <si>
    <t>LYFETYMES</t>
  </si>
  <si>
    <t>https://wefunder.com/lyfetymes</t>
  </si>
  <si>
    <t>https://www.sec.gov/Archives/edgar/data/1791378/000167025419000617/xslC_X01/primary_doc.xml</t>
  </si>
  <si>
    <t>LT Celebrations LLC</t>
  </si>
  <si>
    <t>Alpha'a</t>
  </si>
  <si>
    <t>https://republic.co/alpha-a</t>
  </si>
  <si>
    <t>https://www.sec.gov/Archives/edgar/data/1794484/000179448420000001/xslC_X01/primary_doc.xml</t>
  </si>
  <si>
    <t>Alpha'a, Inc.</t>
  </si>
  <si>
    <t>VegasWinners</t>
  </si>
  <si>
    <t>https://www.startengine.com/vegaswinners</t>
  </si>
  <si>
    <t>https://www.sec.gov/Archives/edgar/data/1791125/000166516020000246/xslC_X01/primary_doc.xml</t>
  </si>
  <si>
    <t>VegasWINNERS Inc.</t>
  </si>
  <si>
    <t>XTI Aircraft</t>
  </si>
  <si>
    <t>https://www.startengine.com/xti-aircraft</t>
  </si>
  <si>
    <t>https://www.sec.gov/Archives/edgar/data/1638850/000166516020000244/xslC_X01/primary_doc.xml</t>
  </si>
  <si>
    <t>XTI Aircraft Co</t>
  </si>
  <si>
    <t>BioCurity Pharmaceuticals</t>
  </si>
  <si>
    <t>https://www.startengine.com/biocurity-pharmaceuticals-inc</t>
  </si>
  <si>
    <t>https://www.sec.gov/Archives/edgar/data/1639681/000166516020000237/xslC_X01/primary_doc.xml</t>
  </si>
  <si>
    <t>BioCurity Pharmaceuticals Inc.</t>
  </si>
  <si>
    <t>Sunu</t>
  </si>
  <si>
    <t>https://republic.co/sunu</t>
  </si>
  <si>
    <t>https://www.sec.gov/Archives/edgar/data/1790092/000179009219000004/xslC_X01/primary_doc.xml</t>
  </si>
  <si>
    <t>Sunu, Inc.</t>
  </si>
  <si>
    <t>Skunk Brothers Spirits</t>
  </si>
  <si>
    <t>https://www.startengine.com/skunk-brothers</t>
  </si>
  <si>
    <t>https://www.sec.gov/Archives/edgar/data/1791683/000166516020000141/xslC_X01/primary_doc.xml</t>
  </si>
  <si>
    <t>Skunk Brothers Spirits Inc.</t>
  </si>
  <si>
    <t>Airemos</t>
  </si>
  <si>
    <t>https://www.startengine.com/airemos</t>
  </si>
  <si>
    <t>https://www.sec.gov/Archives/edgar/data/1662905/000166516019001205/xslC_X01/primary_doc.xml</t>
  </si>
  <si>
    <t>Airemos Corp</t>
  </si>
  <si>
    <t>Cloudastructure</t>
  </si>
  <si>
    <t>https://wefunder.com/cloudastructure</t>
  </si>
  <si>
    <t>https://www.sec.gov/Archives/edgar/data/1709628/000167025419000638/xslC_X01/primary_doc.xml</t>
  </si>
  <si>
    <t>Cloudastructure, Inc.</t>
  </si>
  <si>
    <t>SitTight</t>
  </si>
  <si>
    <t>https://www.startengine.com/sittight-inc</t>
  </si>
  <si>
    <t>https://www.sec.gov/Archives/edgar/data/1786194/000166516019001253/xslC_X01/primary_doc.xml</t>
  </si>
  <si>
    <t>SitTight, Inc.</t>
  </si>
  <si>
    <t>PaQuì Tequila</t>
  </si>
  <si>
    <t>https://www.startengine.com/paquitequila</t>
  </si>
  <si>
    <t>https://www.sec.gov/Archives/edgar/data/1790595/000166516020000242/xslC_X01/primary_doc.xml</t>
  </si>
  <si>
    <t>Tequila Holdings, Inc.</t>
  </si>
  <si>
    <t>Commerce.AI</t>
  </si>
  <si>
    <t>https://www.startengine.com/commerceai</t>
  </si>
  <si>
    <t>https://www.sec.gov/Archives/edgar/data/1716174/000166516020000131/xslC_X01/primary_doc.xml</t>
  </si>
  <si>
    <t>Tall Idea Labs, Inc.</t>
  </si>
  <si>
    <t>HARA Flow</t>
  </si>
  <si>
    <t>https://www.startengine.com/hara-flow</t>
  </si>
  <si>
    <t>https://www.sec.gov/Archives/edgar/data/1793635/000166516020000241/xslC_X01/primary_doc.xml</t>
  </si>
  <si>
    <t>HARA Flow Inc.</t>
  </si>
  <si>
    <t>TACOTOPIA</t>
  </si>
  <si>
    <t>https://www.startengine.com/tacotopia-inc</t>
  </si>
  <si>
    <t>https://www.sec.gov/Archives/edgar/data/1792745/000166516019001240/xslC_X01/primary_doc.xml</t>
  </si>
  <si>
    <t>TACOTOPIA, Inc.</t>
  </si>
  <si>
    <t>SkillSoniq</t>
  </si>
  <si>
    <t>https://wefunder.com/skillsoniq</t>
  </si>
  <si>
    <t>https://www.sec.gov/Archives/edgar/data/1794075/000167025419000700/xslC_X01/primary_doc.xml</t>
  </si>
  <si>
    <t>SkillSoniq Inc.</t>
  </si>
  <si>
    <t>Rumble Motors</t>
  </si>
  <si>
    <t>https://www.startengine.com/rumblemotors</t>
  </si>
  <si>
    <t>https://www.sec.gov/Archives/edgar/data/1797125/000166516020000254/xslC_X01/primary_doc.xml</t>
  </si>
  <si>
    <t>Rumble Motors, Inc.</t>
  </si>
  <si>
    <t>Prime Lightworks</t>
  </si>
  <si>
    <t>https://www.startengine.com/primelightworks</t>
  </si>
  <si>
    <t>https://www.sec.gov/Archives/edgar/data/1681290/000166516020000240/xslC_X01/primary_doc.xml</t>
  </si>
  <si>
    <t>Prime Lightworks Inc.</t>
  </si>
  <si>
    <t>CompanionCBD</t>
  </si>
  <si>
    <t>https://www.startengine.com/companioncbd</t>
  </si>
  <si>
    <t>https://www.sec.gov/Archives/edgar/data/1794140/000166516019001235/xslC_X01/primary_doc.xml</t>
  </si>
  <si>
    <t>Companion CBD, Inc.</t>
  </si>
  <si>
    <t>Juna</t>
  </si>
  <si>
    <t>https://republic.co/juna</t>
  </si>
  <si>
    <t>https://www.sec.gov/Archives/edgar/data/1796599/000179659919000001/xslC_X01/primary_doc.xml</t>
  </si>
  <si>
    <t>Kind Collection Inc.</t>
  </si>
  <si>
    <t>Rocket Dollar</t>
  </si>
  <si>
    <t>https://republic.co/rocket-dollar</t>
  </si>
  <si>
    <t>https://www.sec.gov/Archives/edgar/data/1769091/000176909119000003/xslC_X01/primary_doc.xml</t>
  </si>
  <si>
    <t>Rocket Dollar Inc.</t>
  </si>
  <si>
    <t>Stareable</t>
  </si>
  <si>
    <t>https://republic.co/stareable</t>
  </si>
  <si>
    <t>https://www.sec.gov/Archives/edgar/data/1691657/000169165719000001/xslC_X01/primary_doc.xml</t>
  </si>
  <si>
    <t>Stareable, Inc.</t>
  </si>
  <si>
    <t>HelloWoofy.com</t>
  </si>
  <si>
    <t>https://republic.co/hellowoofy</t>
  </si>
  <si>
    <t>https://www.sec.gov/Archives/edgar/data/1797650/000155447720000003/xslC_X01/primary_doc.xml</t>
  </si>
  <si>
    <t>Woofy, Inc.</t>
  </si>
  <si>
    <t>Hoop Tea</t>
  </si>
  <si>
    <t>https://wefunder.com/hoop.tea</t>
  </si>
  <si>
    <t>https://www.sec.gov/Archives/edgar/data/1788682/000167025419000710/xslC_X01/primary_doc.xml</t>
  </si>
  <si>
    <t>Hoop Tea, Inc.</t>
  </si>
  <si>
    <t>Nuu Rez</t>
  </si>
  <si>
    <t>https://us.trucrowd.com/equity/offer-summary/NUUREZ</t>
  </si>
  <si>
    <t>https://www.sec.gov/Archives/edgar/data/1796295/000179629520000003/xslC_X01/primary_doc.xml</t>
  </si>
  <si>
    <t>Nuu Rez Inc.</t>
  </si>
  <si>
    <t>NuuRez</t>
  </si>
  <si>
    <t>Stay Cool</t>
  </si>
  <si>
    <t>https://wefunder.com/staycool</t>
  </si>
  <si>
    <t>https://www.sec.gov/Archives/edgar/data/1788203/000167025419000623/xslC_X01/primary_doc.xml</t>
  </si>
  <si>
    <t>Stay Cool Beverages LLC</t>
  </si>
  <si>
    <t>Saberation</t>
  </si>
  <si>
    <t>https://www.mrcrowd.com/company/SAB</t>
  </si>
  <si>
    <t>https://www.sec.gov/Archives/edgar/data/1767636/000166610219000034/xslC_X01/primary_doc.xml</t>
  </si>
  <si>
    <t>Saberation Inc.</t>
  </si>
  <si>
    <t>Saberation (SAB)</t>
  </si>
  <si>
    <t>Coinseed</t>
  </si>
  <si>
    <t>https://www.mrcrowd.com/company/CS</t>
  </si>
  <si>
    <t>https://www.sec.gov/Archives/edgar/data/1760049/000166610220000004/xslC_X01/primary_doc.xml</t>
  </si>
  <si>
    <t>Coinseed, Inc.</t>
  </si>
  <si>
    <t>Acciyo</t>
  </si>
  <si>
    <t>https://republic.co/acciyo</t>
  </si>
  <si>
    <t>https://www.sec.gov/Archives/edgar/data/1736423/000173642320000005/xslC_X01/primary_doc.xml</t>
  </si>
  <si>
    <t>Acciyo, Inc.</t>
  </si>
  <si>
    <t>Amplified Ale Works</t>
  </si>
  <si>
    <t>https://wefunder.com/amplified.ale.works</t>
  </si>
  <si>
    <t>https://www.sec.gov/Archives/edgar/data/1794073/000167025420000036/xslC_X01/primary_doc.xml</t>
  </si>
  <si>
    <t>California Kebab PB Restaurant LLC</t>
  </si>
  <si>
    <t>Elite Amateur Fight League</t>
  </si>
  <si>
    <t>https://wefunder.com/eliteamateurfightleague</t>
  </si>
  <si>
    <t>https://www.sec.gov/Archives/edgar/data/1795240/000167025420000021/xslC_X01/primary_doc.xml</t>
  </si>
  <si>
    <t>Elite Amateur Flight League, Inc.</t>
  </si>
  <si>
    <t>Elite Amateur Flight League</t>
  </si>
  <si>
    <t>Sinusave</t>
  </si>
  <si>
    <t>https://www.razitall.com/pitch/sinusave-the-drug-free-nasal-congestion-solution</t>
  </si>
  <si>
    <t>https://www.sec.gov/Archives/edgar/data/1763323/000166828720000003/xslC_X01/primary_doc.xml</t>
  </si>
  <si>
    <t>Actual Natural Health and Wellness Products, Inc.</t>
  </si>
  <si>
    <t>FlowerBee Group</t>
  </si>
  <si>
    <t>https://fundanna.com/equity/offer-summary/FlowerBee</t>
  </si>
  <si>
    <t>https://www.sec.gov/Archives/edgar/data/1792640/000179264020000003/xslC_X01/primary_doc.xml</t>
  </si>
  <si>
    <t>Flowerbee Group, Inc.</t>
  </si>
  <si>
    <t>FlowerBee Group Inc.</t>
  </si>
  <si>
    <t>Plei</t>
  </si>
  <si>
    <t>https://republic.co/plei</t>
  </si>
  <si>
    <t>https://www.sec.gov/Archives/edgar/data/1700943/000170094320000001/xslC_X01/primary_doc.xml</t>
  </si>
  <si>
    <t>Plei, Inc.</t>
  </si>
  <si>
    <t>A Boring Life</t>
  </si>
  <si>
    <t>https://republic.co/a-boring-life</t>
  </si>
  <si>
    <t>https://www.sec.gov/Archives/edgar/data/1785115/000178511520000001/xslC_X01/primary_doc.xml</t>
  </si>
  <si>
    <t>Boring Life Inc.</t>
  </si>
  <si>
    <t>CannTrade</t>
  </si>
  <si>
    <t>https://app.microventures.com/crowdfunding/canntrade</t>
  </si>
  <si>
    <t>https://www.sec.gov/Archives/edgar/data/1795289/000179528920000003/xslC_X01/primary_doc.xml</t>
  </si>
  <si>
    <t>Trimpakt, Inc.</t>
  </si>
  <si>
    <t>The Fantasy Network</t>
  </si>
  <si>
    <t>https://www.startengine.com/the-fantasy-network</t>
  </si>
  <si>
    <t>https://www.sec.gov/Archives/edgar/data/1786858/000166516020000211/xslC_X01/primary_doc.xml</t>
  </si>
  <si>
    <t>The Fantasy Network Corporation</t>
  </si>
  <si>
    <t>Neurohacker Collective</t>
  </si>
  <si>
    <t>https://wefunder.com/neurohacker</t>
  </si>
  <si>
    <t>https://www.sec.gov/Archives/edgar/data/1707359/000167025420000048/xslC_X01/primary_doc.xml</t>
  </si>
  <si>
    <t>Neurohacker Collective, LLC</t>
  </si>
  <si>
    <t>Aviana Holdings</t>
  </si>
  <si>
    <t>https://fundopolis.com/raisedetails?id=cbd77d5a-d358-47c1-ba0a-d9165d6cd793</t>
  </si>
  <si>
    <t>https://www.sec.gov/Archives/edgar/data/1798296/000178043920000003/xslC_X01/primary_doc.xml</t>
  </si>
  <si>
    <t>Aviana Holdings Inc.</t>
  </si>
  <si>
    <t>Kansas City Breweries &amp; Beverage Company</t>
  </si>
  <si>
    <t>https://fundopolis.com/raisedetails?id=9906f30b-dcb2-40ac-8596-68cb26e04b34</t>
  </si>
  <si>
    <t>https://www.sec.gov/Archives/edgar/data/1737259/000178043920000001/xslC_X01/primary_doc.xml</t>
  </si>
  <si>
    <t>Kansas City Breweries Co LLC</t>
  </si>
  <si>
    <t>Edison Golf Company</t>
  </si>
  <si>
    <t>https://www.nextseed.com/offerings/edison-golf</t>
  </si>
  <si>
    <t>https://www.sec.gov/Archives/edgar/data/1796532/000179653220000002/xslC_X01/primary_doc.xml</t>
  </si>
  <si>
    <t>Edison Golf Co.</t>
  </si>
  <si>
    <t>OuiPlease</t>
  </si>
  <si>
    <t>https://www.startengine.com/ouipleasebox</t>
  </si>
  <si>
    <t>https://www.sec.gov/Archives/edgar/data/1794083/000166516020000065/xslC_X01/primary_doc.xml</t>
  </si>
  <si>
    <t>My French Connection, Inc.</t>
  </si>
  <si>
    <t>QuiPlease</t>
  </si>
  <si>
    <t>Mammalz</t>
  </si>
  <si>
    <t>https://wefunder.com/mammalz</t>
  </si>
  <si>
    <t>https://www.sec.gov/Archives/edgar/data/1800216/000167025420000026/xslC_X01/primary_doc.xml</t>
  </si>
  <si>
    <t>Mammalz, PBC</t>
  </si>
  <si>
    <t>Proper Good</t>
  </si>
  <si>
    <t>https://wefunder.com/eatpropergood</t>
  </si>
  <si>
    <t>https://www.sec.gov/Archives/edgar/data/1797607/000167025420000046/xslC_X01/primary_doc.xml</t>
  </si>
  <si>
    <t>Proper Good Inc.</t>
  </si>
  <si>
    <t>Fashwire</t>
  </si>
  <si>
    <t>https://republic.co/fashwire</t>
  </si>
  <si>
    <t>https://www.sec.gov/Archives/edgar/data/1794960/000179496020000001/xslC_X01/primary_doc.xml</t>
  </si>
  <si>
    <t>Fashwire Inc.</t>
  </si>
  <si>
    <t>Dispatch Goods</t>
  </si>
  <si>
    <t>https://republic.co/dispatch-goods</t>
  </si>
  <si>
    <t>https://www.sec.gov/Archives/edgar/data/1799973/000179997320000001/xslC_X01/primary_doc.xml</t>
  </si>
  <si>
    <t>Dispatch Goods, Inc.</t>
  </si>
  <si>
    <t>SONDORS Electric Car Company</t>
  </si>
  <si>
    <t>https://www.startengine.com/sondors-electric-car-company</t>
  </si>
  <si>
    <t>https://www.sec.gov/Archives/edgar/data/1683872/000166516020000186/xslC_X01/primary_doc.xml</t>
  </si>
  <si>
    <t>SoKO</t>
  </si>
  <si>
    <t>https://www.startengine.com/soko</t>
  </si>
  <si>
    <t>https://www.sec.gov/Archives/edgar/data/1801449/000166516020000075/xslC_X01/primary_doc.xml</t>
  </si>
  <si>
    <t>Soko Group, Inc.</t>
  </si>
  <si>
    <t>Franny's Manufacturing</t>
  </si>
  <si>
    <t>https://www.startengine.com/frannys-manufacturing</t>
  </si>
  <si>
    <t>https://www.sec.gov/Archives/edgar/data/1801855/000166516020000071/xslC_X01/primary_doc.xml</t>
  </si>
  <si>
    <t>Franny's Manufacturing Inc.</t>
  </si>
  <si>
    <t>Yae! Organics</t>
  </si>
  <si>
    <t>https://www.startengine.com/yae-organics</t>
  </si>
  <si>
    <t>https://www.sec.gov/Archives/edgar/data/1799227/000166516020000079/xslC_X01/primary_doc.xml</t>
  </si>
  <si>
    <t>Yae! Organics Inc.</t>
  </si>
  <si>
    <t>Pure Green Franchise</t>
  </si>
  <si>
    <t>https://republic.co/puregreen</t>
  </si>
  <si>
    <t>https://www.sec.gov/Archives/edgar/data/1801610/000180161020000002/xslC_X01/primary_doc.xml</t>
  </si>
  <si>
    <t>Pure Green Franchise Corp.</t>
  </si>
  <si>
    <t>The Greatest Adventure on Earth</t>
  </si>
  <si>
    <t>https://wefunder.com/the.greatest.adventure.on.earth</t>
  </si>
  <si>
    <t>https://www.sec.gov/Archives/edgar/data/1796093/000167025420000014/xslC_X01/primary_doc.xml</t>
  </si>
  <si>
    <t>The Greatest Adventures On Earth, LLC</t>
  </si>
  <si>
    <t>The Greatest Adventure On Earth</t>
  </si>
  <si>
    <t>Soar.com</t>
  </si>
  <si>
    <t>https://wefunder.com/soar</t>
  </si>
  <si>
    <t>https://www.sec.gov/Archives/edgar/data/1800456/000167025420000050/xslC_X01/primary_doc.xml</t>
  </si>
  <si>
    <t>Strengths, Inc.</t>
  </si>
  <si>
    <t>Zanbazan</t>
  </si>
  <si>
    <t>https://www.nextseed.com/offerings/zanbazan</t>
  </si>
  <si>
    <t>https://www.sec.gov/Archives/edgar/data/1785626/000178562620000004/xslC_X01/primary_doc.xml</t>
  </si>
  <si>
    <t>Zanbazan, LLC</t>
  </si>
  <si>
    <t>Pacific Integrated Energy</t>
  </si>
  <si>
    <t>https://www.startengine.com/pienergy</t>
  </si>
  <si>
    <t>https://www.sec.gov/Archives/edgar/data/1478985/000166516020000172/xslC_X01/primary_doc.xml</t>
  </si>
  <si>
    <t>Pacific Integrated Energy, Inc.</t>
  </si>
  <si>
    <t>PI Energy</t>
  </si>
  <si>
    <t>Delsure Health Insurance</t>
  </si>
  <si>
    <t>https://wefunder.com/delsure.health.insurance</t>
  </si>
  <si>
    <t>https://www.sec.gov/Archives/edgar/data/1767003/000167025420000041/xslC_X01/primary_doc.xml</t>
  </si>
  <si>
    <t>Delsure Health Insurance, Inc.</t>
  </si>
  <si>
    <t>Delsure</t>
  </si>
  <si>
    <t>Everydae</t>
  </si>
  <si>
    <t>https://wefunder.com/everydae</t>
  </si>
  <si>
    <t>https://www.sec.gov/Archives/edgar/data/1800770/000167025420000065/xslC_X01/primary_doc.xml</t>
  </si>
  <si>
    <t>Learn with ORION LLC</t>
  </si>
  <si>
    <t>Deuce Drone</t>
  </si>
  <si>
    <t>https://netcapital.com/companies/deuce-drone</t>
  </si>
  <si>
    <t>https://www.sec.gov/Archives/edgar/data/1802762/000166919120000045/xslC_X01/primary_doc.xml</t>
  </si>
  <si>
    <t>Deuce Drone LLC</t>
  </si>
  <si>
    <t>ThoughtFull Toys Inc.</t>
  </si>
  <si>
    <t>https://www.startengine.com/thoughtfull-toys-inc</t>
  </si>
  <si>
    <t>https://www.sec.gov/Archives/edgar/data/1585681/000166516020000109/xslC_X01/primary_doc.xml</t>
  </si>
  <si>
    <t>Thoughtfull Toys, Inc.</t>
  </si>
  <si>
    <t>ThoughtFull Toys</t>
  </si>
  <si>
    <t>GoBQ Grills, Inc.</t>
  </si>
  <si>
    <t>https://www.startengine.com/gobq-grills</t>
  </si>
  <si>
    <t>https://www.sec.gov/Archives/edgar/data/1800755/000166516020000114/xslC_X01/primary_doc.xml</t>
  </si>
  <si>
    <t>GoBQ Grills</t>
  </si>
  <si>
    <t>Galactic Adventures</t>
  </si>
  <si>
    <t>https://wefunder.com/galacticadventures</t>
  </si>
  <si>
    <t>https://www.sec.gov/Archives/edgar/data/1800826/000167025420000107/xslC_X01/primary_doc.xml</t>
  </si>
  <si>
    <t>Galactic Adventures, Inc.</t>
  </si>
  <si>
    <t>American 7s Football League</t>
  </si>
  <si>
    <t>https://www.startengine.com/a7fl</t>
  </si>
  <si>
    <t>https://www.sec.gov/Archives/edgar/data/1803721/000180372120000002/xslC_X01/primary_doc.xml</t>
  </si>
  <si>
    <t>A7FL Inc.</t>
  </si>
  <si>
    <t>Chicas Tacos</t>
  </si>
  <si>
    <t>https://www.startengine.com/chicastacos</t>
  </si>
  <si>
    <t>https://www.sec.gov/Archives/edgar/data/1803728/000166516020000195/xslC_X01/primary_doc.xml</t>
  </si>
  <si>
    <t>Chicas Tacos Holdings, Inc.</t>
  </si>
  <si>
    <t>Mamie's Pies</t>
  </si>
  <si>
    <t>https://www.startengine.com/mamiespies</t>
  </si>
  <si>
    <t>https://www.sec.gov/Archives/edgar/data/1803730/000166516020000177/xslC_X01/primary_doc.xml</t>
  </si>
  <si>
    <t>Mamie's Pies, Inc.</t>
  </si>
  <si>
    <t>ClimateCase</t>
  </si>
  <si>
    <t>https://www.startengine.com/climatecase</t>
  </si>
  <si>
    <t>https://www.sec.gov/Archives/edgar/data/1804772/000166516020000184/xslC_X01/primary_doc.xml</t>
  </si>
  <si>
    <t>Coastal ClimateCase, Inc.</t>
  </si>
  <si>
    <t>Fuchsia Shoes</t>
  </si>
  <si>
    <t>https://wefunder.com/fuchsia.shoes</t>
  </si>
  <si>
    <t>https://www.sec.gov/Archives/edgar/data/1800827/000167025420000071/xslC_X01/primary_doc.xml</t>
  </si>
  <si>
    <t>Fuchsia Shoes Inc.</t>
  </si>
  <si>
    <t>Citizen Armor</t>
  </si>
  <si>
    <t>https://www.mrcrowd.com/company/TAC</t>
  </si>
  <si>
    <t>https://www.sec.gov/Archives/edgar/data/1741462/000166610220000002/xslC_X01/primary_doc.xml</t>
  </si>
  <si>
    <t>Armored Citizen, LLC</t>
  </si>
  <si>
    <t>Vibravision</t>
  </si>
  <si>
    <t>https://www.mrcrowd.com/company/VBR</t>
  </si>
  <si>
    <t>https://www.sec.gov/Archives/edgar/data/1748253/000166610219000029/xslC_X01/primary_doc.xml</t>
  </si>
  <si>
    <t>Vibravision, LLC</t>
  </si>
  <si>
    <t>Social5</t>
  </si>
  <si>
    <t>https://www.mrcrowd.com/company/SOC</t>
  </si>
  <si>
    <t>https://www.sec.gov/Archives/edgar/data/1758447/000166610220000001/xslC_X01/primary_doc.xml</t>
  </si>
  <si>
    <t>Social5, LLC</t>
  </si>
  <si>
    <t>ZAMii</t>
  </si>
  <si>
    <t>https://www.razitall.com/pitch/zamii-clean-cleaning-americas-carpets-upholstery</t>
  </si>
  <si>
    <t>https://www.sec.gov/Archives/edgar/data/1742800/000166828719000051/xslC_X01/primary_doc.xml</t>
  </si>
  <si>
    <t>Zamii Clean USA Carpet and Upholstery Cleaning Corp.</t>
  </si>
  <si>
    <t>ZAMii Clean Cleaning Americas Carpets &amp; Upholstery</t>
  </si>
  <si>
    <t>Bum Butt Corporation</t>
  </si>
  <si>
    <t>https://www.razitall.com/pitch/bum-butt-wipes-container</t>
  </si>
  <si>
    <t>https://www.sec.gov/Archives/edgar/data/1740066/000166828719000036/xslC_X01/primary_doc.xml</t>
  </si>
  <si>
    <t>Bum Butt Wipes &amp; Container</t>
  </si>
  <si>
    <t>Lyons Ave Renaissance</t>
  </si>
  <si>
    <t>https://buytheblock.com/campaign/buying-the-block-in-historic-5th-ward-houston</t>
  </si>
  <si>
    <t>https://www.sec.gov/Archives/edgar/data/1796828/000179682820000002/xslC_X01/primary_doc.xml</t>
  </si>
  <si>
    <t>3204 Lyons Avenue LLC</t>
  </si>
  <si>
    <t>BitiCar</t>
  </si>
  <si>
    <t>https://crowdsourcefunded.com/offerings/14/cycles/14</t>
  </si>
  <si>
    <t>https://www.sec.gov/Archives/edgar/data/1780452/000178045220000001/xslC_X01/primary_doc.xml</t>
  </si>
  <si>
    <t>Globocoin 1, LLC</t>
  </si>
  <si>
    <t>Geoship</t>
  </si>
  <si>
    <t>https://www.startengine.com/geoship</t>
  </si>
  <si>
    <t>https://www.sec.gov/Archives/edgar/data/1626196/000166516020000157/xslC_X01/primary_doc.xml</t>
  </si>
  <si>
    <t>Geoship SPC</t>
  </si>
  <si>
    <t>LiquidPiston</t>
  </si>
  <si>
    <t>https://www.startengine.com/liquidpiston</t>
  </si>
  <si>
    <t>https://www.sec.gov/Archives/edgar/data/1446275/000166516020000007/xslC_X01/primary_doc.xml</t>
  </si>
  <si>
    <t>LiquidPiston, LLC</t>
  </si>
  <si>
    <t>Oracle Health</t>
  </si>
  <si>
    <t>https://app.microventures.com/crowdfunding/oracle-health</t>
  </si>
  <si>
    <t>https://www.sec.gov/Archives/edgar/data/1777274/000177727420000004/xslC_X01/primary_doc.xml</t>
  </si>
  <si>
    <t>Oracle Health Inc.</t>
  </si>
  <si>
    <t>Brambler Boutique</t>
  </si>
  <si>
    <t>https://app.honeycombcredit.com/en/projects/11357-Brambler-Boutique</t>
  </si>
  <si>
    <t>https://www.sec.gov/Archives/edgar/data/1806194/000180619420000001/xslC_X01/primary_doc.xml</t>
  </si>
  <si>
    <t>Poppet LLC</t>
  </si>
  <si>
    <t>Xin Chao</t>
  </si>
  <si>
    <t>https://www.nextseed.com/offerings/xin-chao</t>
  </si>
  <si>
    <t>https://www.sec.gov/Archives/edgar/data/1802569/000180256920000001/xslC_X01/primary_doc.xml</t>
  </si>
  <si>
    <t>Xin Chao LLC</t>
  </si>
  <si>
    <t>Hot Oven Cookies</t>
  </si>
  <si>
    <t>https://mainvest.com/businesses/hot-oven-cookies/overview</t>
  </si>
  <si>
    <t>https://www.sec.gov/Archives/edgar/data/1798432/000174605920000092/xslC_X01/primary_doc.xml</t>
  </si>
  <si>
    <t>HOT OVEN COOKIES, LLC</t>
  </si>
  <si>
    <t>Aloha Tropical Bowls</t>
  </si>
  <si>
    <t>https://mainvest.com/businesses/aloha-tropical-bowls/overview</t>
  </si>
  <si>
    <t>https://www.sec.gov/Archives/edgar/data/1807625/000174605920000090/xslC_X01/primary_doc.xml</t>
  </si>
  <si>
    <t>ALOHA TROPICAL BOWLS, LLC</t>
  </si>
  <si>
    <t>Smokey Vale</t>
  </si>
  <si>
    <t>https://mainvest.com/businesses/smokey-vale/overview</t>
  </si>
  <si>
    <t>https://www.sec.gov/Archives/edgar/data/1807638/000174605920000093/xslC_X01/primary_doc.xml</t>
  </si>
  <si>
    <t>Smokey Vale LLC</t>
  </si>
  <si>
    <t>Celebrate with Sarah Hospitality</t>
  </si>
  <si>
    <t>https://wefunder.com/celebratewithsarah</t>
  </si>
  <si>
    <t>https://www.sec.gov/Archives/edgar/data/1787344/000167025419000501/xslC_X01/primary_doc.xml</t>
  </si>
  <si>
    <t>CWS Hospitality LLC</t>
  </si>
  <si>
    <t>Celebrate with Sarah</t>
  </si>
  <si>
    <t>True Wines</t>
  </si>
  <si>
    <t>https://mainvest.com/businesses/true-wines</t>
  </si>
  <si>
    <t>https://www.sec.gov/Archives/edgar/data/1796230/000174605919000091/xslC_X01/primary_doc.xml</t>
  </si>
  <si>
    <t>True Wines LLC</t>
  </si>
  <si>
    <t>The Upperow</t>
  </si>
  <si>
    <t>https://app.honeycombcredit.com/en/projects/11325-The-Upper-Row</t>
  </si>
  <si>
    <t>https://www.sec.gov/Archives/edgar/data/1802485/000180248520000001/xslC_X01/primary_doc.xml</t>
  </si>
  <si>
    <t>Upper Row LLC</t>
  </si>
  <si>
    <t>The Upper Row</t>
  </si>
  <si>
    <t>Sail to Trail WineWorks</t>
  </si>
  <si>
    <t>https://mainvest.com/businesses/sail-to-trail-wineworks</t>
  </si>
  <si>
    <t>https://www.sec.gov/Archives/edgar/data/1804109/000174605920000054/xslC_X01/primary_doc.xml</t>
  </si>
  <si>
    <t>SAIL TO TRAIL LLC</t>
  </si>
  <si>
    <t>Sail To Trail WineWorks</t>
  </si>
  <si>
    <t>Ronin Harrisburg</t>
  </si>
  <si>
    <t>https://www.nextseed.com/offerings/ronin-harrisburg</t>
  </si>
  <si>
    <t>https://www.sec.gov/Archives/edgar/data/1795322/000179532220000001/xslC_X01/primary_doc.xml</t>
  </si>
  <si>
    <t>Ronin Harrisburg, LLC</t>
  </si>
  <si>
    <t>Little Radish Provisions</t>
  </si>
  <si>
    <t>https://mainvest.com/businesses/little-radish</t>
  </si>
  <si>
    <t>https://www.sec.gov/Archives/edgar/data/1804411/000174605920000056/xslC_X01/primary_doc.xml</t>
  </si>
  <si>
    <t>Little Radish Provisions LLC</t>
  </si>
  <si>
    <t>Salem Gnu Kitchen</t>
  </si>
  <si>
    <t>https://mainvest.com/b/salem-gnu-kitchen-salem</t>
  </si>
  <si>
    <t>https://www.sec.gov/Archives/edgar/data/1804466/000174605920000063/xslC_X01/primary_doc.xml</t>
  </si>
  <si>
    <t>Salem Gnu Kitchen Inc.</t>
  </si>
  <si>
    <t>Room and Boards Cafe</t>
  </si>
  <si>
    <t>https://mainvest.com/b/room-and-boards-cafe-boise</t>
  </si>
  <si>
    <t>https://www.sec.gov/Archives/edgar/data/1804876/000174605920000058/xslC_X01/primary_doc.xml</t>
  </si>
  <si>
    <t>Room &amp; Boards LLC</t>
  </si>
  <si>
    <t>Room &amp; Boards Cafe</t>
  </si>
  <si>
    <t>Monkey Wrench Brewing</t>
  </si>
  <si>
    <t>https://mainvest.com/b/monkey-wrench-brewing-company-suwanee</t>
  </si>
  <si>
    <t>https://www.sec.gov/Archives/edgar/data/1804624/000174605920000061/xslC_X01/primary_doc.xml</t>
  </si>
  <si>
    <t>Monkey Wrench Brewing Company, LLC</t>
  </si>
  <si>
    <t>Monkey Wrench Brewing Company</t>
  </si>
  <si>
    <t>Bible Smugglers</t>
  </si>
  <si>
    <t>https://wefunder.com/biblesmugglersmovie</t>
  </si>
  <si>
    <t>https://www.sec.gov/Archives/edgar/data/1796091/000167025419000715/xslC_X01/primary_doc.xml</t>
  </si>
  <si>
    <t>Bible Smugglers Movie Production LLC</t>
  </si>
  <si>
    <t>Queen's Gambit</t>
  </si>
  <si>
    <t>https://mainvest.com/businesses/queens-gambit</t>
  </si>
  <si>
    <t>https://www.sec.gov/Archives/edgar/data/1803385/000174605920000064/xslC_X01/primary_doc.xml</t>
  </si>
  <si>
    <t>TRISKELE VENTURES INC.</t>
  </si>
  <si>
    <t>Bullfinch Brewpub</t>
  </si>
  <si>
    <t>https://mainvest.com/businesses/bullfinch-brewpub</t>
  </si>
  <si>
    <t>https://www.sec.gov/Archives/edgar/data/1803205/000174605920000041/xslC_X01/primary_doc.xml</t>
  </si>
  <si>
    <t>Bullfinch Brewub LLC</t>
  </si>
  <si>
    <t>Greenzone Pharms</t>
  </si>
  <si>
    <t>https://fundanna.com/equity/offer-summary/GreenzonePharms</t>
  </si>
  <si>
    <t>https://www.sec.gov/Archives/edgar/data/1790424/000179042420000003/xslC_X01/primary_doc.xml</t>
  </si>
  <si>
    <t>GreenZone Pharms</t>
  </si>
  <si>
    <t>Avalon Lounge and Game Cafe</t>
  </si>
  <si>
    <t>https://mainvest.com/businesses/avalon-lounge-and-game-cafe</t>
  </si>
  <si>
    <t>https://www.sec.gov/Archives/edgar/data/1802932/000174605920000034/xslC_X01/primary_doc.xml</t>
  </si>
  <si>
    <t>Avalon Lounge &amp; Game Cafe, Inc.</t>
  </si>
  <si>
    <t>Skeptic Distillery Co.</t>
  </si>
  <si>
    <t>https://wefunder.com/skeptic.distillery</t>
  </si>
  <si>
    <t>https://www.sec.gov/Archives/edgar/data/1788674/000167025420000069/xslC_X01/primary_doc.xml</t>
  </si>
  <si>
    <t>Skeptic Distillery</t>
  </si>
  <si>
    <t>TNHC</t>
  </si>
  <si>
    <t>https://fundopolis.com/raisedetails?id=bacaeab7-f47b-473b-82fb-f6dfc908b44c</t>
  </si>
  <si>
    <t>https://www.sec.gov/Archives/edgar/data/1794037/000178043919000009/xslC_X01/primary_doc.xml</t>
  </si>
  <si>
    <t>TNHC LLC</t>
  </si>
  <si>
    <t>Tennessee Hemp</t>
  </si>
  <si>
    <t>Mizen Funeral Home</t>
  </si>
  <si>
    <t>https://mainvest.com/businesses/mizen-funeral-home</t>
  </si>
  <si>
    <t>https://www.sec.gov/Archives/edgar/data/1794407/000174605920000066/xslC_X01/primary_doc.xml</t>
  </si>
  <si>
    <t>Mizen Funeral Home &amp; Cremation Services LLC</t>
  </si>
  <si>
    <t>I am Like You Film</t>
  </si>
  <si>
    <t>https://wefunder.com/i.am.like.you.film.llc</t>
  </si>
  <si>
    <t>https://www.sec.gov/Archives/edgar/data/1788198/000167025419000612/xslC_X01/primary_doc.xml</t>
  </si>
  <si>
    <t>I AM LIKE YOU FILM, LLC</t>
  </si>
  <si>
    <t>I Am Like You</t>
  </si>
  <si>
    <t>Kin Tap and Rec Room</t>
  </si>
  <si>
    <t>https://mainvest.com/businesses/kintaproom</t>
  </si>
  <si>
    <t>https://www.sec.gov/Archives/edgar/data/1783625/000174605920000033/xslC_X01/primary_doc.xml</t>
  </si>
  <si>
    <t>Kin Tap &amp; Rec Room, LLC</t>
  </si>
  <si>
    <t>Porky's Bar &amp; Grill</t>
  </si>
  <si>
    <t>https://app.honeycombcredit.com/en/projects/11145-Porky-s-Bar--amp--Grill</t>
  </si>
  <si>
    <t>https://www.sec.gov/Archives/edgar/data/1793868/000179386820000002/xslC_X01/primary_doc.xml</t>
  </si>
  <si>
    <t>Porky's LLC</t>
  </si>
  <si>
    <t>Porky's Bar and Grill</t>
  </si>
  <si>
    <t>Sits n Wiggles Pet Care n Training</t>
  </si>
  <si>
    <t>https://app.honeycombcredit.com/en/projects/11226-Sits-N-Wiggles-Dog-Daycare-N-Training--LLC</t>
  </si>
  <si>
    <t>https://www.sec.gov/Archives/edgar/data/1800155/000180015520000001/xslC_X01/primary_doc.xml</t>
  </si>
  <si>
    <t>Sits N Wiggles Dog Daycare N Training, LLC</t>
  </si>
  <si>
    <t>Sits 'n Wiggles Pet Care &amp; Training</t>
  </si>
  <si>
    <t>An Angry Boy</t>
  </si>
  <si>
    <t>https://www.startengine.com/an-angry-boy</t>
  </si>
  <si>
    <t>https://www.sec.gov/Archives/edgar/data/1801405/000166516020000061/xslC_X01/primary_doc.xml</t>
  </si>
  <si>
    <t>An Angry Boy Inc.</t>
  </si>
  <si>
    <t>Stoneman Brewery</t>
  </si>
  <si>
    <t>https://mainvest.com/businesses/stoneman-brewery</t>
  </si>
  <si>
    <t>https://www.sec.gov/Archives/edgar/data/1801534/000174605920000029/xslC_X01/primary_doc.xml</t>
  </si>
  <si>
    <t>Stoneman Brewery LLC</t>
  </si>
  <si>
    <t>Plum Island Grill</t>
  </si>
  <si>
    <t>https://mainvest.com/businesses/plum-island-grille</t>
  </si>
  <si>
    <t>https://www.sec.gov/Archives/edgar/data/1799484/000174605920000037/xslC_X01/primary_doc.xml</t>
  </si>
  <si>
    <t>Plum Island Grille, Inc.</t>
  </si>
  <si>
    <t>Plum Island Grille</t>
  </si>
  <si>
    <t>Snake Oil Song</t>
  </si>
  <si>
    <t>https://wefunder.com/snake.oil.song</t>
  </si>
  <si>
    <t>https://www.sec.gov/Archives/edgar/data/1800828/000167025420000094/xslC_X01/primary_doc.xml</t>
  </si>
  <si>
    <t>Snake Oil Song, LLC</t>
  </si>
  <si>
    <t>PointBreezeway</t>
  </si>
  <si>
    <t>https://app.honeycombcredit.com/en/projects/11334-PointBreezeway-LLC</t>
  </si>
  <si>
    <t>https://www.sec.gov/Archives/edgar/data/1803497/000180349720000001/xslC_X01/primary_doc.xml</t>
  </si>
  <si>
    <t>PointBreezeway LLC</t>
  </si>
  <si>
    <t>Delmont Mama P's Pizza Subs &amp; More</t>
  </si>
  <si>
    <t>https://app.honeycombcredit.com/en/projects/11333-ScHE-Corp</t>
  </si>
  <si>
    <t>https://www.sec.gov/Archives/edgar/data/1805075/000180507520000002/xslC_X01/primary_doc.xml</t>
  </si>
  <si>
    <t>ScHE Corp.</t>
  </si>
  <si>
    <t>The Wine Collective</t>
  </si>
  <si>
    <t>https://app.honeycombcredit.com/en/projects/11227-The-Wine-Collective</t>
  </si>
  <si>
    <t>https://www.sec.gov/Archives/edgar/data/1798823/000179882320000002/xslC_X01/primary_doc.xml</t>
  </si>
  <si>
    <t>Wine Collective, LLC</t>
  </si>
  <si>
    <t>AV Seals Labor Group</t>
  </si>
  <si>
    <t>https://mainvest.com/b/av-seals-labor-group-llc</t>
  </si>
  <si>
    <t>https://www.sec.gov/Archives/edgar/data/1807302/000174605920000099/xslC_X01/primary_doc.xml</t>
  </si>
  <si>
    <t>AV Seals Labor Group, LLC</t>
  </si>
  <si>
    <t>Contempo Aesthetics</t>
  </si>
  <si>
    <t>https://mainvest.com/b/contempo-aesthetics</t>
  </si>
  <si>
    <t>https://www.sec.gov/Archives/edgar/data/1807964/000174605920000100/xslC_X01/primary_doc.xml</t>
  </si>
  <si>
    <t>Rachel Reyes-Bergano, D.O. Inc.</t>
  </si>
  <si>
    <t>Antonio's Cupcake Factory</t>
  </si>
  <si>
    <t>https://mainvest.com/b/antonioscupcakes</t>
  </si>
  <si>
    <t>https://www.sec.gov/Archives/edgar/data/1808346/000174605920000102/xslC_X01/primary_doc.xml</t>
  </si>
  <si>
    <t>Antonios Cupcake Factory Inc</t>
  </si>
  <si>
    <t>Twisted Escape Room</t>
  </si>
  <si>
    <t>https://mainvest.com/b/twisted-escape-room-salem</t>
  </si>
  <si>
    <t>https://www.sec.gov/Archives/edgar/data/1765325/000174605920000104/xslC_X01/primary_doc.xml</t>
  </si>
  <si>
    <t>Twisted Escape Room LLC</t>
  </si>
  <si>
    <t>Stone's Throw Hash</t>
  </si>
  <si>
    <t>https://app.honeycombcredit.com/en/projects/11395-Stone-s-Throw-Hash</t>
  </si>
  <si>
    <t>https://disclosurequest.com/form/stones-throw-hash,-llc/0001807930-20-000001/?returnURL=</t>
  </si>
  <si>
    <t>Stone's Throw Hash, LLC</t>
  </si>
  <si>
    <t>Big Kahuna Pineapple Drink Company</t>
  </si>
  <si>
    <t>https://app.honeycombcredit.com/en/projects/11383-Big-Kahuna-Pineapple-Drink-Company-LLC</t>
  </si>
  <si>
    <t>https://disclosurequest.com/form/big-kahuna-pineapple-drink-co-llc/0001805122-20-000001/?returnURL=</t>
  </si>
  <si>
    <t>Big Kahuna Pineapple Drink Co LLC</t>
  </si>
  <si>
    <t>Goddard Medical Services</t>
  </si>
  <si>
    <t>https://mainvest.com/businesses/goddard-medical-services/overview</t>
  </si>
  <si>
    <t>https://www.sec.gov/Archives/edgar/data/1807932/000174605920000095/xslC_X01/primary_doc.xml</t>
  </si>
  <si>
    <t>GODDARD MEDICAL SERVICES LLC</t>
  </si>
  <si>
    <t>Global Wordsmiths</t>
  </si>
  <si>
    <t>https://app.honeycombcredit.com/en/projects/11378-Global-Wordsmiths</t>
  </si>
  <si>
    <t>https://www.sec.gov/Archives/edgar/data/1807941/000180794120000001/xslC_X01/primary_doc.xml</t>
  </si>
  <si>
    <t>Global Wordsmiths LLC</t>
  </si>
  <si>
    <t>Wanderlinger Brewing Company</t>
  </si>
  <si>
    <t>https://mainvest.com/b/wanderlinger-brewery-chattanooga</t>
  </si>
  <si>
    <t>https://www.sec.gov/Archives/edgar/data/1807927/000174605920000097/xslC_X01/primary_doc.xml</t>
  </si>
  <si>
    <t>WanderLinger Brewing Company, LLC</t>
  </si>
  <si>
    <t>WanderLinger Brewery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</si>
</sst>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0.0"/>
    <numFmt numFmtId="165" formatCode="&quot;$&quot;#,##0"/>
    <numFmt numFmtId="166" formatCode="0.0%"/>
    <numFmt numFmtId="167" formatCode="#,##0.0"/>
    <numFmt numFmtId="168" formatCode="mm/dd/yyyy h:mm am/pm"/>
    <numFmt numFmtId="169" formatCode="m/d/yyyy"/>
    <numFmt numFmtId="170" formatCode="mm/dd/yyyy"/>
    <numFmt numFmtId="171" formatCode="m/d/yy"/>
    <numFmt numFmtId="172" formatCode="M/d/yyyy"/>
    <numFmt numFmtId="173" formatCode="m/d/yyyy h:mm am/pm"/>
    <numFmt numFmtId="174" formatCode="mm-dd-yyyy"/>
  </numFmts>
  <fonts count="27">
    <font>
      <sz val="10.0"/>
      <color rgb="FF000000"/>
      <name val="Arial"/>
    </font>
    <font>
      <name val="Arial"/>
    </font>
    <font>
      <b/>
      <sz val="11.0"/>
    </font>
    <font/>
    <font>
      <b/>
    </font>
    <font>
      <b/>
      <sz val="11.0"/>
      <color rgb="FF000000"/>
    </font>
    <font>
      <b/>
      <sz val="10.0"/>
      <color rgb="FF000000"/>
    </font>
    <font>
      <color rgb="FF000000"/>
      <name val="Arial"/>
    </font>
    <font>
      <color rgb="FF000000"/>
      <name val="Roboto"/>
    </font>
    <font>
      <b/>
      <name val="Arial"/>
    </font>
    <font>
      <b/>
      <sz val="14.0"/>
    </font>
    <font>
      <b/>
      <sz val="11.0"/>
      <name val="Arial"/>
    </font>
    <font>
      <b/>
      <sz val="11.0"/>
      <color rgb="FFCCCCCC"/>
      <name val="Arial"/>
    </font>
    <font>
      <u/>
      <sz val="10.0"/>
      <color rgb="FF000000"/>
      <name val="Arial"/>
    </font>
    <font>
      <color rgb="FF000000"/>
    </font>
    <font>
      <color rgb="FFCCCCCC"/>
      <name val="Arial"/>
    </font>
    <font>
      <b/>
      <sz val="14.0"/>
      <name val="Arial"/>
    </font>
    <font>
      <u/>
      <sz val="10.0"/>
      <color rgb="FF000000"/>
      <name val="Arial"/>
    </font>
    <font>
      <u/>
      <color rgb="FF000000"/>
      <name val="Arial"/>
    </font>
    <font>
      <u/>
      <sz val="10.0"/>
      <color rgb="FF000000"/>
      <name val="Arial"/>
    </font>
    <font>
      <u/>
      <sz val="10.0"/>
      <color rgb="FF000000"/>
    </font>
    <font>
      <u/>
      <sz val="10.0"/>
      <color rgb="FF000000"/>
      <name val="Arial"/>
    </font>
    <font>
      <sz val="11.0"/>
      <color rgb="FF000000"/>
      <name val="Arial"/>
    </font>
    <font>
      <sz val="10.0"/>
      <color rgb="FF000000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left" readingOrder="0" vertical="center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horizontal="center" readingOrder="0" vertical="center"/>
    </xf>
    <xf borderId="0" fillId="2" fontId="1" numFmtId="49" xfId="0" applyAlignment="1" applyFont="1" applyNumberFormat="1">
      <alignment horizontal="center" readingOrder="0" vertical="bottom"/>
    </xf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 vertical="center"/>
    </xf>
    <xf borderId="0" fillId="0" fontId="1" numFmtId="0" xfId="0" applyAlignment="1" applyFont="1">
      <alignment vertical="bottom"/>
    </xf>
    <xf borderId="0" fillId="2" fontId="2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6" numFmtId="0" xfId="0" applyAlignment="1" applyFont="1">
      <alignment readingOrder="0" vertical="center"/>
    </xf>
    <xf borderId="0" fillId="0" fontId="3" numFmtId="49" xfId="0" applyAlignment="1" applyFont="1" applyNumberFormat="1">
      <alignment horizontal="center" readingOrder="0"/>
    </xf>
    <xf borderId="0" fillId="2" fontId="2" numFmtId="4" xfId="0" applyAlignment="1" applyFont="1" applyNumberFormat="1">
      <alignment readingOrder="0" vertical="center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/>
    </xf>
    <xf borderId="0" fillId="0" fontId="4" numFmtId="0" xfId="0" applyFont="1"/>
    <xf borderId="0" fillId="0" fontId="1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readingOrder="0" vertical="bottom"/>
    </xf>
    <xf quotePrefix="1" borderId="0" fillId="0" fontId="3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2" fontId="2" numFmtId="10" xfId="0" applyAlignment="1" applyFont="1" applyNumberFormat="1">
      <alignment readingOrder="0" vertical="center"/>
    </xf>
    <xf borderId="0" fillId="2" fontId="2" numFmtId="165" xfId="0" applyAlignment="1" applyFont="1" applyNumberFormat="1">
      <alignment readingOrder="0" vertical="center"/>
    </xf>
    <xf borderId="0" fillId="2" fontId="2" numFmtId="9" xfId="0" applyAlignment="1" applyFont="1" applyNumberFormat="1">
      <alignment readingOrder="0" vertical="center"/>
    </xf>
    <xf borderId="0" fillId="2" fontId="2" numFmtId="166" xfId="0" applyAlignment="1" applyFont="1" applyNumberFormat="1">
      <alignment readingOrder="0" vertical="center"/>
    </xf>
    <xf borderId="0" fillId="2" fontId="5" numFmtId="0" xfId="0" applyAlignment="1" applyFont="1">
      <alignment readingOrder="0" vertical="center"/>
    </xf>
    <xf borderId="0" fillId="0" fontId="3" numFmtId="49" xfId="0" applyAlignment="1" applyFont="1" applyNumberFormat="1">
      <alignment horizontal="left" readingOrder="0"/>
    </xf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1" fillId="2" fontId="5" numFmtId="0" xfId="0" applyAlignment="1" applyBorder="1" applyFont="1">
      <alignment horizontal="center" readingOrder="0" vertical="center"/>
    </xf>
    <xf borderId="2" fillId="3" fontId="5" numFmtId="2" xfId="0" applyAlignment="1" applyBorder="1" applyFill="1" applyFont="1" applyNumberForma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0" fillId="4" fontId="8" numFmtId="0" xfId="0" applyAlignment="1" applyFill="1" applyFont="1">
      <alignment readingOrder="0" vertical="bottom"/>
    </xf>
    <xf borderId="1" fillId="2" fontId="3" numFmtId="0" xfId="0" applyBorder="1" applyFont="1"/>
    <xf borderId="2" fillId="0" fontId="9" numFmtId="164" xfId="0" applyAlignment="1" applyBorder="1" applyFont="1" applyNumberFormat="1">
      <alignment horizontal="center" readingOrder="0"/>
    </xf>
    <xf borderId="2" fillId="0" fontId="9" numFmtId="167" xfId="0" applyAlignment="1" applyBorder="1" applyFont="1" applyNumberFormat="1">
      <alignment horizontal="center" readingOrder="0"/>
    </xf>
    <xf borderId="0" fillId="4" fontId="8" numFmtId="0" xfId="0" applyAlignment="1" applyFont="1">
      <alignment vertical="bottom"/>
    </xf>
    <xf borderId="2" fillId="0" fontId="9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4" fontId="7" numFmtId="0" xfId="0" applyAlignment="1" applyFont="1">
      <alignment horizontal="left" readingOrder="0"/>
    </xf>
    <xf borderId="1" fillId="0" fontId="3" numFmtId="0" xfId="0" applyBorder="1" applyFont="1"/>
    <xf borderId="5" fillId="5" fontId="10" numFmtId="167" xfId="0" applyAlignment="1" applyBorder="1" applyFill="1" applyFont="1" applyNumberFormat="1">
      <alignment horizontal="center" readingOrder="0" vertical="center"/>
    </xf>
    <xf borderId="0" fillId="2" fontId="5" numFmtId="0" xfId="0" applyAlignment="1" applyFont="1">
      <alignment horizontal="left" readingOrder="0" vertical="center"/>
    </xf>
    <xf borderId="0" fillId="2" fontId="5" numFmtId="0" xfId="0" applyAlignment="1" applyFont="1">
      <alignment horizontal="center" readingOrder="0" vertical="center"/>
    </xf>
    <xf borderId="0" fillId="2" fontId="5" numFmtId="4" xfId="0" applyAlignment="1" applyFont="1" applyNumberFormat="1">
      <alignment readingOrder="0" vertical="center"/>
    </xf>
    <xf borderId="0" fillId="2" fontId="5" numFmtId="10" xfId="0" applyAlignment="1" applyFont="1" applyNumberFormat="1">
      <alignment readingOrder="0" vertical="center"/>
    </xf>
    <xf borderId="0" fillId="2" fontId="5" numFmtId="165" xfId="0" applyAlignment="1" applyFont="1" applyNumberFormat="1">
      <alignment readingOrder="0" vertical="center"/>
    </xf>
    <xf borderId="0" fillId="2" fontId="5" numFmtId="9" xfId="0" applyAlignment="1" applyFont="1" applyNumberFormat="1">
      <alignment readingOrder="0" vertical="center"/>
    </xf>
    <xf borderId="0" fillId="2" fontId="5" numFmtId="166" xfId="0" applyAlignment="1" applyFont="1" applyNumberFormat="1">
      <alignment readingOrder="0" vertical="center"/>
    </xf>
    <xf borderId="1" fillId="2" fontId="2" numFmtId="0" xfId="0" applyAlignment="1" applyBorder="1" applyFont="1">
      <alignment readingOrder="0" vertical="center"/>
    </xf>
    <xf borderId="1" fillId="3" fontId="2" numFmtId="2" xfId="0" applyAlignment="1" applyBorder="1" applyFont="1" applyNumberFormat="1">
      <alignment readingOrder="0" vertical="center"/>
    </xf>
    <xf borderId="1" fillId="3" fontId="2" numFmtId="0" xfId="0" applyAlignment="1" applyBorder="1" applyFont="1">
      <alignment readingOrder="0" vertical="center"/>
    </xf>
    <xf borderId="1" fillId="0" fontId="11" numFmtId="164" xfId="0" applyAlignment="1" applyBorder="1" applyFont="1" applyNumberFormat="1">
      <alignment horizontal="right" readingOrder="0" vertical="bottom"/>
    </xf>
    <xf borderId="0" fillId="0" fontId="3" numFmtId="49" xfId="0" applyFont="1" applyNumberFormat="1"/>
    <xf borderId="1" fillId="0" fontId="12" numFmtId="164" xfId="0" applyAlignment="1" applyBorder="1" applyFont="1" applyNumberFormat="1">
      <alignment horizontal="right" vertical="bottom"/>
    </xf>
    <xf borderId="1" fillId="0" fontId="12" numFmtId="164" xfId="0" applyAlignment="1" applyBorder="1" applyFont="1" applyNumberFormat="1">
      <alignment horizontal="right" readingOrder="0" vertical="bottom"/>
    </xf>
    <xf borderId="1" fillId="6" fontId="11" numFmtId="164" xfId="0" applyAlignment="1" applyBorder="1" applyFill="1" applyFont="1" applyNumberFormat="1">
      <alignment horizontal="right" vertical="bottom"/>
    </xf>
    <xf borderId="1" fillId="0" fontId="11" numFmtId="0" xfId="0" applyAlignment="1" applyBorder="1" applyFont="1">
      <alignment horizontal="right" vertical="bottom"/>
    </xf>
    <xf borderId="1" fillId="0" fontId="11" numFmtId="166" xfId="0" applyAlignment="1" applyBorder="1" applyFont="1" applyNumberFormat="1">
      <alignment horizontal="right" readingOrder="0" vertical="bottom"/>
    </xf>
    <xf borderId="0" fillId="0" fontId="3" numFmtId="49" xfId="0" applyAlignment="1" applyFont="1" applyNumberFormat="1">
      <alignment horizontal="center"/>
    </xf>
    <xf borderId="1" fillId="0" fontId="11" numFmtId="167" xfId="0" applyAlignment="1" applyBorder="1" applyFont="1" applyNumberFormat="1">
      <alignment horizontal="right" vertical="bottom"/>
    </xf>
    <xf borderId="1" fillId="2" fontId="11" numFmtId="164" xfId="0" applyAlignment="1" applyBorder="1" applyFont="1" applyNumberFormat="1">
      <alignment horizontal="right" readingOrder="0" vertical="bottom"/>
    </xf>
    <xf borderId="0" fillId="0" fontId="3" numFmtId="165" xfId="0" applyAlignment="1" applyFont="1" applyNumberFormat="1">
      <alignment readingOrder="0"/>
    </xf>
    <xf borderId="1" fillId="6" fontId="11" numFmtId="164" xfId="0" applyAlignment="1" applyBorder="1" applyFont="1" applyNumberFormat="1">
      <alignment horizontal="right" readingOrder="0" vertical="bottom"/>
    </xf>
    <xf borderId="1" fillId="0" fontId="11" numFmtId="164" xfId="0" applyAlignment="1" applyBorder="1" applyFont="1" applyNumberFormat="1">
      <alignment shrinkToFit="0" vertical="bottom" wrapText="0"/>
    </xf>
    <xf borderId="1" fillId="0" fontId="11" numFmtId="164" xfId="0" applyAlignment="1" applyBorder="1" applyFont="1" applyNumberFormat="1">
      <alignment readingOrder="0" vertical="bottom"/>
    </xf>
    <xf borderId="1" fillId="0" fontId="11" numFmtId="164" xfId="0" applyAlignment="1" applyBorder="1" applyFont="1" applyNumberFormat="1">
      <alignment vertical="bottom"/>
    </xf>
    <xf borderId="1" fillId="2" fontId="11" numFmtId="164" xfId="0" applyAlignment="1" applyBorder="1" applyFont="1" applyNumberFormat="1">
      <alignment readingOrder="0" vertical="bottom"/>
    </xf>
    <xf borderId="1" fillId="6" fontId="11" numFmtId="164" xfId="0" applyAlignment="1" applyBorder="1" applyFont="1" applyNumberFormat="1">
      <alignment readingOrder="0" vertical="bottom"/>
    </xf>
    <xf borderId="1" fillId="0" fontId="11" numFmtId="0" xfId="0" applyAlignment="1" applyBorder="1" applyFont="1">
      <alignment shrinkToFit="0" vertical="bottom" wrapText="0"/>
    </xf>
    <xf borderId="1" fillId="0" fontId="11" numFmtId="9" xfId="0" applyAlignment="1" applyBorder="1" applyFont="1" applyNumberFormat="1">
      <alignment readingOrder="0" vertical="bottom"/>
    </xf>
    <xf borderId="1" fillId="0" fontId="11" numFmtId="0" xfId="0" applyAlignment="1" applyBorder="1" applyFont="1">
      <alignment vertical="bottom"/>
    </xf>
    <xf borderId="1" fillId="0" fontId="11" numFmtId="164" xfId="0" applyAlignment="1" applyBorder="1" applyFont="1" applyNumberFormat="1">
      <alignment horizontal="right" vertical="bottom"/>
    </xf>
    <xf borderId="1" fillId="0" fontId="11" numFmtId="0" xfId="0" applyAlignment="1" applyBorder="1" applyFont="1">
      <alignment horizontal="right" shrinkToFit="0" vertical="bottom" wrapText="0"/>
    </xf>
    <xf borderId="1" fillId="0" fontId="11" numFmtId="10" xfId="0" applyAlignment="1" applyBorder="1" applyFont="1" applyNumberFormat="1">
      <alignment horizontal="right" readingOrder="0" vertical="bottom"/>
    </xf>
    <xf borderId="1" fillId="6" fontId="9" numFmtId="164" xfId="0" applyAlignment="1" applyBorder="1" applyFont="1" applyNumberFormat="1">
      <alignment readingOrder="0" vertical="bottom"/>
    </xf>
    <xf borderId="1" fillId="0" fontId="9" numFmtId="9" xfId="0" applyAlignment="1" applyBorder="1" applyFont="1" applyNumberFormat="1">
      <alignment readingOrder="0" vertical="bottom"/>
    </xf>
    <xf borderId="1" fillId="0" fontId="11" numFmtId="0" xfId="0" applyAlignment="1" applyBorder="1" applyFont="1">
      <alignment horizontal="right" readingOrder="0" shrinkToFit="0" vertical="bottom" wrapText="0"/>
    </xf>
    <xf borderId="1" fillId="0" fontId="9" numFmtId="0" xfId="0" applyAlignment="1" applyBorder="1" applyFont="1">
      <alignment readingOrder="0" vertical="bottom"/>
    </xf>
    <xf borderId="1" fillId="2" fontId="3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168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7" numFmtId="4" xfId="0" applyAlignment="1" applyFont="1" applyNumberFormat="1">
      <alignment vertical="bottom"/>
    </xf>
    <xf borderId="0" fillId="0" fontId="7" numFmtId="10" xfId="0" applyAlignment="1" applyFont="1" applyNumberFormat="1">
      <alignment vertical="bottom"/>
    </xf>
    <xf borderId="0" fillId="0" fontId="7" numFmtId="165" xfId="0" applyAlignment="1" applyFont="1" applyNumberFormat="1">
      <alignment vertical="bottom"/>
    </xf>
    <xf borderId="0" fillId="0" fontId="7" numFmtId="165" xfId="0" applyAlignment="1" applyFont="1" applyNumberFormat="1">
      <alignment horizontal="right" vertical="bottom"/>
    </xf>
    <xf borderId="0" fillId="0" fontId="7" numFmtId="9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7" numFmtId="0" xfId="0" applyAlignment="1" applyFont="1">
      <alignment readingOrder="0" vertical="bottom"/>
    </xf>
    <xf borderId="0" fillId="0" fontId="7" numFmtId="165" xfId="0" applyAlignment="1" applyFont="1" applyNumberFormat="1">
      <alignment horizontal="right" vertical="bottom"/>
    </xf>
    <xf borderId="0" fillId="0" fontId="7" numFmtId="166" xfId="0" applyAlignment="1" applyFont="1" applyNumberFormat="1">
      <alignment horizontal="right" vertical="bottom"/>
    </xf>
    <xf borderId="0" fillId="0" fontId="7" numFmtId="10" xfId="0" applyAlignment="1" applyFont="1" applyNumberFormat="1">
      <alignment horizontal="right" vertical="bottom"/>
    </xf>
    <xf borderId="0" fillId="2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14" numFmtId="0" xfId="0" applyFont="1"/>
    <xf borderId="0" fillId="2" fontId="14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0" fontId="1" numFmtId="2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right" vertical="bottom"/>
    </xf>
    <xf borderId="0" fillId="2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5" numFmtId="164" xfId="0" applyAlignment="1" applyFont="1" applyNumberFormat="1">
      <alignment vertical="bottom"/>
    </xf>
    <xf borderId="0" fillId="6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6" xfId="0" applyAlignment="1" applyFont="1" applyNumberFormat="1">
      <alignment vertical="bottom"/>
    </xf>
    <xf borderId="0" fillId="0" fontId="1" numFmtId="167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3" numFmtId="10" xfId="0" applyAlignment="1" applyFont="1" applyNumberFormat="1">
      <alignment readingOrder="0"/>
    </xf>
    <xf borderId="0" fillId="0" fontId="3" numFmtId="165" xfId="0" applyFont="1" applyNumberFormat="1"/>
    <xf borderId="0" fillId="0" fontId="3" numFmtId="10" xfId="0" applyFont="1" applyNumberFormat="1"/>
    <xf borderId="0" fillId="0" fontId="1" numFmtId="164" xfId="0" applyAlignment="1" applyFont="1" applyNumberFormat="1">
      <alignment vertical="bottom"/>
    </xf>
    <xf borderId="0" fillId="6" fontId="0" numFmtId="164" xfId="0" applyFont="1" applyNumberFormat="1"/>
    <xf borderId="0" fillId="0" fontId="1" numFmtId="9" xfId="0" applyAlignment="1" applyFont="1" applyNumberFormat="1">
      <alignment vertical="bottom"/>
    </xf>
    <xf borderId="0" fillId="0" fontId="1" numFmtId="9" xfId="0" applyAlignment="1" applyFont="1" applyNumberFormat="1">
      <alignment horizontal="right" vertical="bottom"/>
    </xf>
    <xf borderId="0" fillId="6" fontId="1" numFmtId="164" xfId="0" applyAlignment="1" applyFont="1" applyNumberFormat="1">
      <alignment horizontal="center" vertical="bottom"/>
    </xf>
    <xf borderId="0" fillId="5" fontId="16" numFmtId="164" xfId="0" applyAlignment="1" applyFont="1" applyNumberFormat="1">
      <alignment vertical="bottom"/>
    </xf>
    <xf borderId="0" fillId="0" fontId="7" numFmtId="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0" fontId="7" numFmtId="170" xfId="0" applyAlignment="1" applyFont="1" applyNumberFormat="1">
      <alignment horizontal="right" vertical="bottom"/>
    </xf>
    <xf borderId="0" fillId="0" fontId="3" numFmtId="9" xfId="0" applyAlignment="1" applyFont="1" applyNumberFormat="1">
      <alignment readingOrder="0"/>
    </xf>
    <xf borderId="0" fillId="0" fontId="7" numFmtId="171" xfId="0" applyAlignment="1" applyFont="1" applyNumberFormat="1">
      <alignment horizontal="right" vertical="bottom"/>
    </xf>
    <xf borderId="0" fillId="0" fontId="3" numFmtId="167" xfId="0" applyFont="1" applyNumberFormat="1"/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7" numFmtId="16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18" numFmtId="0" xfId="0" applyAlignment="1" applyFont="1">
      <alignment vertical="bottom"/>
    </xf>
    <xf borderId="0" fillId="0" fontId="7" numFmtId="9" xfId="0" applyAlignment="1" applyFont="1" applyNumberFormat="1">
      <alignment horizontal="right" vertical="bottom"/>
    </xf>
    <xf borderId="0" fillId="0" fontId="7" numFmtId="0" xfId="0" applyAlignment="1" applyFont="1">
      <alignment readingOrder="0" vertical="bottom"/>
    </xf>
    <xf borderId="0" fillId="0" fontId="7" numFmtId="165" xfId="0" applyAlignment="1" applyFont="1" applyNumberFormat="1">
      <alignment horizontal="right" vertical="bottom"/>
    </xf>
    <xf borderId="0" fillId="0" fontId="7" numFmtId="166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7" numFmtId="168" xfId="0" applyAlignment="1" applyFont="1" applyNumberFormat="1">
      <alignment vertical="bottom"/>
    </xf>
    <xf borderId="0" fillId="0" fontId="7" numFmtId="168" xfId="0" applyAlignment="1" applyFont="1" applyNumberForma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19" numFmtId="0" xfId="0" applyAlignment="1" applyFont="1">
      <alignment readingOrder="0" vertical="bottom"/>
    </xf>
    <xf borderId="0" fillId="0" fontId="7" numFmtId="169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vertical="bottom"/>
    </xf>
    <xf borderId="0" fillId="0" fontId="7" numFmtId="9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7" numFmtId="165" xfId="0" applyAlignment="1" applyFont="1" applyNumberFormat="1">
      <alignment horizontal="right" readingOrder="0" vertical="bottom"/>
    </xf>
    <xf borderId="0" fillId="0" fontId="7" numFmtId="166" xfId="0" applyAlignment="1" applyFont="1" applyNumberFormat="1">
      <alignment horizontal="right" readingOrder="0" vertical="bottom"/>
    </xf>
    <xf borderId="0" fillId="0" fontId="7" numFmtId="10" xfId="0" applyAlignment="1" applyFont="1" applyNumberForma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7" numFmtId="165" xfId="0" applyAlignment="1" applyFont="1" applyNumberFormat="1">
      <alignment readingOrder="0" vertical="bottom"/>
    </xf>
    <xf borderId="0" fillId="0" fontId="3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3" numFmtId="168" xfId="0" applyAlignment="1" applyFont="1" applyNumberFormat="1">
      <alignment readingOrder="0"/>
    </xf>
    <xf borderId="0" fillId="0" fontId="20" numFmtId="0" xfId="0" applyAlignment="1" applyFont="1">
      <alignment readingOrder="0"/>
    </xf>
    <xf borderId="0" fillId="0" fontId="3" numFmtId="172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169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7" numFmtId="0" xfId="0" applyAlignment="1" applyFont="1">
      <alignment readingOrder="0" vertical="bottom"/>
    </xf>
    <xf borderId="0" fillId="0" fontId="1" numFmtId="168" xfId="0" applyAlignment="1" applyFont="1" applyNumberFormat="1">
      <alignment horizontal="right" readingOrder="0" vertical="bottom"/>
    </xf>
    <xf borderId="0" fillId="0" fontId="1" numFmtId="170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1" numFmtId="4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9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shrinkToFit="0" vertical="bottom" wrapText="1"/>
    </xf>
    <xf borderId="0" fillId="0" fontId="1" numFmtId="166" xfId="0" applyAlignment="1" applyFont="1" applyNumberFormat="1">
      <alignment readingOrder="0" vertical="bottom"/>
    </xf>
    <xf borderId="0" fillId="0" fontId="1" numFmtId="173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21" numFmtId="0" xfId="0" applyAlignment="1" applyFont="1">
      <alignment readingOrder="0" vertical="bottom"/>
    </xf>
    <xf borderId="0" fillId="0" fontId="1" numFmtId="170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73" xfId="0" applyAlignment="1" applyFont="1" applyNumberFormat="1">
      <alignment horizontal="right" readingOrder="0" vertical="bottom"/>
    </xf>
    <xf borderId="0" fillId="4" fontId="22" numFmtId="0" xfId="0" applyAlignment="1" applyFont="1">
      <alignment readingOrder="0" vertical="bottom"/>
    </xf>
    <xf borderId="0" fillId="0" fontId="1" numFmtId="9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horizontal="right" readingOrder="0" vertical="bottom"/>
    </xf>
    <xf borderId="0" fillId="0" fontId="1" numFmtId="9" xfId="0" applyAlignment="1" applyFont="1" applyNumberFormat="1">
      <alignment readingOrder="0" vertical="bottom"/>
    </xf>
    <xf borderId="0" fillId="0" fontId="1" numFmtId="168" xfId="0" applyAlignment="1" applyFont="1" applyNumberFormat="1">
      <alignment horizontal="right" readingOrder="0" vertical="bottom"/>
    </xf>
    <xf borderId="0" fillId="0" fontId="1" numFmtId="174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horizontal="right" readingOrder="0" vertical="bottom"/>
    </xf>
    <xf borderId="0" fillId="0" fontId="1" numFmtId="9" xfId="0" applyAlignment="1" applyFont="1" applyNumberFormat="1">
      <alignment vertical="bottom"/>
    </xf>
    <xf borderId="0" fillId="0" fontId="1" numFmtId="3" xfId="0" applyAlignment="1" applyFont="1" applyNumberFormat="1">
      <alignment horizontal="right" readingOrder="0" vertical="bottom"/>
    </xf>
    <xf borderId="0" fillId="0" fontId="3" numFmtId="173" xfId="0" applyAlignment="1" applyFont="1" applyNumberFormat="1">
      <alignment readingOrder="0"/>
    </xf>
    <xf borderId="0" fillId="0" fontId="3" numFmtId="170" xfId="0" applyAlignment="1" applyFont="1" applyNumberFormat="1">
      <alignment readingOrder="0"/>
    </xf>
    <xf borderId="0" fillId="0" fontId="23" numFmtId="0" xfId="0" applyAlignment="1" applyFont="1">
      <alignment readingOrder="0"/>
    </xf>
    <xf borderId="0" fillId="7" fontId="7" numFmtId="0" xfId="0" applyAlignment="1" applyFill="1" applyFont="1">
      <alignment vertical="bottom"/>
    </xf>
    <xf borderId="0" fillId="7" fontId="7" numFmtId="0" xfId="0" applyAlignment="1" applyFont="1">
      <alignment horizontal="right" vertical="bottom"/>
    </xf>
    <xf borderId="0" fillId="7" fontId="1" numFmtId="168" xfId="0" applyAlignment="1" applyFont="1" applyNumberFormat="1">
      <alignment vertical="bottom"/>
    </xf>
    <xf borderId="0" fillId="7" fontId="24" numFmtId="0" xfId="0" applyAlignment="1" applyFont="1">
      <alignment vertical="bottom"/>
    </xf>
    <xf borderId="0" fillId="7" fontId="7" numFmtId="169" xfId="0" applyAlignment="1" applyFont="1" applyNumberFormat="1">
      <alignment horizontal="right" vertical="bottom"/>
    </xf>
    <xf borderId="0" fillId="7" fontId="1" numFmtId="0" xfId="0" applyAlignment="1" applyFont="1">
      <alignment vertical="bottom"/>
    </xf>
    <xf borderId="0" fillId="7" fontId="1" numFmtId="4" xfId="0" applyAlignment="1" applyFont="1" applyNumberFormat="1">
      <alignment vertical="bottom"/>
    </xf>
    <xf borderId="0" fillId="7" fontId="7" numFmtId="10" xfId="0" applyAlignment="1" applyFont="1" applyNumberFormat="1">
      <alignment horizontal="right" vertical="bottom"/>
    </xf>
    <xf borderId="0" fillId="7" fontId="1" numFmtId="165" xfId="0" applyAlignment="1" applyFont="1" applyNumberFormat="1">
      <alignment vertical="bottom"/>
    </xf>
    <xf borderId="0" fillId="7" fontId="1" numFmtId="9" xfId="0" applyAlignment="1" applyFont="1" applyNumberFormat="1">
      <alignment vertical="bottom"/>
    </xf>
    <xf borderId="0" fillId="7" fontId="1" numFmtId="10" xfId="0" applyAlignment="1" applyFont="1" applyNumberFormat="1">
      <alignment horizontal="center" vertical="bottom"/>
    </xf>
    <xf borderId="0" fillId="7" fontId="7" numFmtId="165" xfId="0" applyAlignment="1" applyFont="1" applyNumberFormat="1">
      <alignment horizontal="right" vertical="bottom"/>
    </xf>
    <xf borderId="0" fillId="7" fontId="7" numFmtId="9" xfId="0" applyAlignment="1" applyFont="1" applyNumberFormat="1">
      <alignment horizontal="right" vertical="bottom"/>
    </xf>
    <xf borderId="0" fillId="7" fontId="7" numFmtId="165" xfId="0" applyAlignment="1" applyFont="1" applyNumberFormat="1">
      <alignment horizontal="right" vertical="bottom"/>
    </xf>
    <xf borderId="0" fillId="7" fontId="7" numFmtId="166" xfId="0" applyAlignment="1" applyFont="1" applyNumberFormat="1">
      <alignment horizontal="right" vertical="bottom"/>
    </xf>
    <xf borderId="0" fillId="7" fontId="7" numFmtId="0" xfId="0" applyAlignment="1" applyFont="1">
      <alignment horizontal="right" vertical="bottom"/>
    </xf>
    <xf borderId="0" fillId="7" fontId="7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7" fontId="1" numFmtId="2" xfId="0" applyAlignment="1" applyFont="1" applyNumberFormat="1">
      <alignment horizontal="center" vertical="bottom"/>
    </xf>
    <xf borderId="0" fillId="7" fontId="1" numFmtId="2" xfId="0" applyAlignment="1" applyFont="1" applyNumberFormat="1">
      <alignment horizontal="right" vertical="bottom"/>
    </xf>
    <xf borderId="0" fillId="7" fontId="1" numFmtId="0" xfId="0" applyAlignment="1" applyFont="1">
      <alignment horizontal="center" vertical="bottom"/>
    </xf>
    <xf borderId="0" fillId="7" fontId="1" numFmtId="164" xfId="0" applyAlignment="1" applyFont="1" applyNumberFormat="1">
      <alignment vertical="bottom"/>
    </xf>
    <xf borderId="0" fillId="7" fontId="15" numFmtId="164" xfId="0" applyAlignment="1" applyFont="1" applyNumberFormat="1">
      <alignment vertical="bottom"/>
    </xf>
    <xf borderId="0" fillId="7" fontId="15" numFmtId="164" xfId="0" applyAlignment="1" applyFont="1" applyNumberFormat="1">
      <alignment horizontal="right" vertical="bottom"/>
    </xf>
    <xf borderId="0" fillId="7" fontId="1" numFmtId="164" xfId="0" applyAlignment="1" applyFont="1" applyNumberFormat="1">
      <alignment horizontal="right" vertical="bottom"/>
    </xf>
    <xf borderId="0" fillId="7" fontId="1" numFmtId="166" xfId="0" applyAlignment="1" applyFont="1" applyNumberFormat="1">
      <alignment horizontal="right" vertical="bottom"/>
    </xf>
    <xf borderId="0" fillId="7" fontId="1" numFmtId="167" xfId="0" applyAlignment="1" applyFont="1" applyNumberForma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7" fontId="1" numFmtId="9" xfId="0" applyAlignment="1" applyFont="1" applyNumberFormat="1">
      <alignment horizontal="right" vertical="bottom"/>
    </xf>
    <xf borderId="0" fillId="7" fontId="1" numFmtId="0" xfId="0" applyAlignment="1" applyFont="1">
      <alignment horizontal="right" vertical="bottom"/>
    </xf>
    <xf borderId="0" fillId="7" fontId="1" numFmtId="164" xfId="0" applyAlignment="1" applyFont="1" applyNumberFormat="1">
      <alignment horizontal="center" vertical="bottom"/>
    </xf>
    <xf borderId="0" fillId="7" fontId="16" numFmtId="164" xfId="0" applyAlignment="1" applyFont="1" applyNumberFormat="1">
      <alignment horizontal="right" vertical="bottom"/>
    </xf>
    <xf borderId="0" fillId="7" fontId="7" numFmtId="168" xfId="0" applyAlignment="1" applyFont="1" applyNumberFormat="1">
      <alignment horizontal="right" vertical="bottom"/>
    </xf>
    <xf borderId="0" fillId="7" fontId="7" numFmtId="4" xfId="0" applyAlignment="1" applyFont="1" applyNumberFormat="1">
      <alignment horizontal="right" vertical="bottom"/>
    </xf>
    <xf borderId="0" fillId="7" fontId="1" numFmtId="10" xfId="0" applyAlignment="1" applyFont="1" applyNumberFormat="1">
      <alignment vertical="bottom"/>
    </xf>
    <xf borderId="0" fillId="7" fontId="1" numFmtId="0" xfId="0" applyAlignment="1" applyFont="1">
      <alignment vertical="bottom"/>
    </xf>
    <xf borderId="0" fillId="7" fontId="1" numFmtId="0" xfId="0" applyAlignment="1" applyFont="1">
      <alignment horizontal="right" vertical="bottom"/>
    </xf>
    <xf borderId="0" fillId="7" fontId="1" numFmtId="168" xfId="0" applyAlignment="1" applyFont="1" applyNumberFormat="1">
      <alignment horizontal="right" vertical="bottom"/>
    </xf>
    <xf borderId="0" fillId="7" fontId="1" numFmtId="170" xfId="0" applyAlignment="1" applyFont="1" applyNumberFormat="1">
      <alignment horizontal="right" vertical="bottom"/>
    </xf>
    <xf borderId="0" fillId="7" fontId="22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7" fontId="1" numFmtId="4" xfId="0" applyAlignment="1" applyFont="1" applyNumberFormat="1">
      <alignment horizontal="right" vertical="bottom"/>
    </xf>
    <xf borderId="0" fillId="7" fontId="1" numFmtId="166" xfId="0" applyAlignment="1" applyFont="1" applyNumberFormat="1">
      <alignment horizontal="right" vertical="bottom"/>
    </xf>
    <xf borderId="0" fillId="7" fontId="1" numFmtId="165" xfId="0" applyAlignment="1" applyFont="1" applyNumberFormat="1">
      <alignment horizontal="right" vertical="bottom"/>
    </xf>
    <xf borderId="0" fillId="7" fontId="1" numFmtId="0" xfId="0" applyAlignment="1" applyFont="1">
      <alignment horizontal="right" vertical="bottom"/>
    </xf>
    <xf borderId="0" fillId="7" fontId="1" numFmtId="10" xfId="0" applyAlignment="1" applyFont="1" applyNumberFormat="1">
      <alignment horizontal="right" vertical="bottom"/>
    </xf>
    <xf borderId="0" fillId="7" fontId="1" numFmtId="0" xfId="0" applyAlignment="1" applyFont="1">
      <alignment horizontal="right" vertical="bottom"/>
    </xf>
    <xf borderId="0" fillId="7" fontId="7" numFmtId="0" xfId="0" applyAlignment="1" applyFont="1">
      <alignment vertical="bottom"/>
    </xf>
    <xf borderId="0" fillId="7" fontId="1" numFmtId="168" xfId="0" applyAlignment="1" applyFont="1" applyNumberFormat="1">
      <alignment horizontal="right" vertical="bottom"/>
    </xf>
    <xf borderId="0" fillId="7" fontId="25" numFmtId="0" xfId="0" applyAlignment="1" applyFont="1">
      <alignment vertical="bottom"/>
    </xf>
    <xf borderId="0" fillId="7" fontId="1" numFmtId="170" xfId="0" applyAlignment="1" applyFont="1" applyNumberFormat="1">
      <alignment horizontal="right" vertical="bottom"/>
    </xf>
    <xf borderId="0" fillId="7" fontId="1" numFmtId="4" xfId="0" applyAlignment="1" applyFont="1" applyNumberFormat="1">
      <alignment horizontal="right" vertical="bottom"/>
    </xf>
    <xf borderId="0" fillId="7" fontId="1" numFmtId="165" xfId="0" applyAlignment="1" applyFont="1" applyNumberFormat="1">
      <alignment horizontal="right" vertical="bottom"/>
    </xf>
    <xf borderId="0" fillId="7" fontId="1" numFmtId="10" xfId="0" applyAlignment="1" applyFont="1" applyNumberFormat="1">
      <alignment horizontal="right" vertical="bottom"/>
    </xf>
    <xf borderId="0" fillId="7" fontId="1" numFmtId="0" xfId="0" applyAlignment="1" applyFont="1">
      <alignment readingOrder="0" vertical="bottom"/>
    </xf>
    <xf borderId="0" fillId="7" fontId="1" numFmtId="0" xfId="0" applyAlignment="1" applyFont="1">
      <alignment horizontal="right" readingOrder="0" vertical="bottom"/>
    </xf>
    <xf borderId="0" fillId="7" fontId="7" numFmtId="0" xfId="0" applyAlignment="1" applyFont="1">
      <alignment readingOrder="0" vertical="bottom"/>
    </xf>
    <xf borderId="0" fillId="7" fontId="26" numFmtId="0" xfId="0" applyAlignment="1" applyFont="1">
      <alignment readingOrder="0" vertical="bottom"/>
    </xf>
    <xf borderId="0" fillId="7" fontId="1" numFmtId="170" xfId="0" applyAlignment="1" applyFont="1" applyNumberFormat="1">
      <alignment horizontal="right" readingOrder="0" vertical="bottom"/>
    </xf>
    <xf borderId="0" fillId="7" fontId="1" numFmtId="4" xfId="0" applyAlignment="1" applyFont="1" applyNumberFormat="1">
      <alignment readingOrder="0" vertical="bottom"/>
    </xf>
    <xf borderId="0" fillId="7" fontId="1" numFmtId="165" xfId="0" applyAlignment="1" applyFont="1" applyNumberFormat="1">
      <alignment horizontal="right" readingOrder="0" vertical="bottom"/>
    </xf>
    <xf borderId="0" fillId="7" fontId="7" numFmtId="0" xfId="0" applyAlignment="1" applyFont="1">
      <alignment horizontal="right" readingOrder="0" vertical="bottom"/>
    </xf>
    <xf borderId="0" fillId="7" fontId="1" numFmtId="166" xfId="0" applyAlignment="1" applyFont="1" applyNumberFormat="1">
      <alignment horizontal="right" readingOrder="0" vertical="bottom"/>
    </xf>
    <xf borderId="0" fillId="7" fontId="7" numFmtId="10" xfId="0" applyAlignment="1" applyFont="1" applyNumberFormat="1">
      <alignment horizontal="right" readingOrder="0" vertical="bottom"/>
    </xf>
    <xf borderId="0" fillId="7" fontId="1" numFmtId="10" xfId="0" applyAlignment="1" applyFont="1" applyNumberFormat="1">
      <alignment horizontal="right" readingOrder="0" vertical="bottom"/>
    </xf>
    <xf borderId="0" fillId="7" fontId="1" numFmtId="165" xfId="0" applyAlignment="1" applyFont="1" applyNumberFormat="1">
      <alignment horizontal="center" readingOrder="0" vertical="bottom"/>
    </xf>
    <xf borderId="0" fillId="7" fontId="1" numFmtId="0" xfId="0" applyAlignment="1" applyFont="1">
      <alignment horizontal="center"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ec.gov/Archives/edgar/data/1802761/000167025420000116/xslC_X01/primary_doc.xml" TargetMode="External"/><Relationship Id="rId194" Type="http://schemas.openxmlformats.org/officeDocument/2006/relationships/hyperlink" Target="https://buytheblock.com/campaign/connecting-farmers-to-people-reconnecting-people-to-real-food-1" TargetMode="External"/><Relationship Id="rId193" Type="http://schemas.openxmlformats.org/officeDocument/2006/relationships/hyperlink" Target="https://www.sec.gov/Archives/edgar/data/1803861/000180386120000002/xslC_X01/primary_doc.xml" TargetMode="External"/><Relationship Id="rId192" Type="http://schemas.openxmlformats.org/officeDocument/2006/relationships/hyperlink" Target="https://buytheblock.com/campaign/melanoid-exchange-is-offering-the-crowd-an-opportunity-to-invest-in-a-mobile-ecommercebooking-platform-dedicated-to-connecting-entrepreneurs-of-color-with-the-world" TargetMode="External"/><Relationship Id="rId191" Type="http://schemas.openxmlformats.org/officeDocument/2006/relationships/hyperlink" Target="https://www.sec.gov/Archives/edgar/data/1802761/000167025420000116/xslC_X01/primary_doc.xml" TargetMode="External"/><Relationship Id="rId187" Type="http://schemas.openxmlformats.org/officeDocument/2006/relationships/hyperlink" Target="https://www.sec.gov/Archives/edgar/data/1800753/000166516020000164/xslC_X01/primary_doc.xml" TargetMode="External"/><Relationship Id="rId186" Type="http://schemas.openxmlformats.org/officeDocument/2006/relationships/hyperlink" Target="https://www.startengine.com/reset-iv" TargetMode="External"/><Relationship Id="rId185" Type="http://schemas.openxmlformats.org/officeDocument/2006/relationships/hyperlink" Target="https://www.sec.gov/Archives/edgar/data/1674612/000166919120000078/xslC_X01/primary_doc.xml" TargetMode="External"/><Relationship Id="rId184" Type="http://schemas.openxmlformats.org/officeDocument/2006/relationships/hyperlink" Target="https://netcapital.com/companies/zelgor" TargetMode="External"/><Relationship Id="rId189" Type="http://schemas.openxmlformats.org/officeDocument/2006/relationships/hyperlink" Target="https://www.sec.gov/Archives/edgar/data/1783128/000166516020000167/xslC_X01/primary_doc.xml" TargetMode="External"/><Relationship Id="rId188" Type="http://schemas.openxmlformats.org/officeDocument/2006/relationships/hyperlink" Target="https://www.startengine.com/epilog" TargetMode="External"/><Relationship Id="rId183" Type="http://schemas.openxmlformats.org/officeDocument/2006/relationships/hyperlink" Target="https://www.sec.gov/Archives/edgar/data/1800212/000167025420000016/xslC_X01/primary_doc.xml" TargetMode="External"/><Relationship Id="rId182" Type="http://schemas.openxmlformats.org/officeDocument/2006/relationships/hyperlink" Target="https://wefunder.com/ecarra" TargetMode="External"/><Relationship Id="rId181" Type="http://schemas.openxmlformats.org/officeDocument/2006/relationships/hyperlink" Target="https://www.sec.gov/Archives/edgar/data/1797565/000179756520000001/xslC_X01/primary_doc.xml" TargetMode="External"/><Relationship Id="rId180" Type="http://schemas.openxmlformats.org/officeDocument/2006/relationships/hyperlink" Target="https://equifundcfp.com/biopact-ct/" TargetMode="External"/><Relationship Id="rId176" Type="http://schemas.openxmlformats.org/officeDocument/2006/relationships/hyperlink" Target="http://skinz.gg" TargetMode="External"/><Relationship Id="rId297" Type="http://schemas.openxmlformats.org/officeDocument/2006/relationships/hyperlink" Target="https://www.sec.gov/Archives/edgar/data/1768911/000166516020000035/xslC_X01/primary_doc.xml" TargetMode="External"/><Relationship Id="rId175" Type="http://schemas.openxmlformats.org/officeDocument/2006/relationships/hyperlink" Target="https://www.sec.gov/Archives/edgar/data/1802465/000180246520000002/xslC_X01/primary_doc.xml" TargetMode="External"/><Relationship Id="rId296" Type="http://schemas.openxmlformats.org/officeDocument/2006/relationships/hyperlink" Target="https://www.startengine.com/sanmelix" TargetMode="External"/><Relationship Id="rId174" Type="http://schemas.openxmlformats.org/officeDocument/2006/relationships/hyperlink" Target="https://republic.co/sienna-sauce" TargetMode="External"/><Relationship Id="rId295" Type="http://schemas.openxmlformats.org/officeDocument/2006/relationships/hyperlink" Target="https://www.sec.gov/Archives/edgar/data/1742637/000168316819001803/xslC_X01/primary_doc.xml" TargetMode="External"/><Relationship Id="rId173" Type="http://schemas.openxmlformats.org/officeDocument/2006/relationships/hyperlink" Target="https://www.sec.gov/Archives/edgar/data/1777476/000177747620000001/xslC_X01/primary_doc.xml" TargetMode="External"/><Relationship Id="rId294" Type="http://schemas.openxmlformats.org/officeDocument/2006/relationships/hyperlink" Target="https://crowdsourcefunded.com/offerings/13/cycles/13" TargetMode="External"/><Relationship Id="rId179" Type="http://schemas.openxmlformats.org/officeDocument/2006/relationships/hyperlink" Target="http://skinz.gg" TargetMode="External"/><Relationship Id="rId178" Type="http://schemas.openxmlformats.org/officeDocument/2006/relationships/hyperlink" Target="https://www.sec.gov/Archives/edgar/data/1795715/000166516020000155/xslC_X01/primary_doc.xml" TargetMode="External"/><Relationship Id="rId299" Type="http://schemas.openxmlformats.org/officeDocument/2006/relationships/hyperlink" Target="https://www.sec.gov/Archives/edgar/data/1787023/000178702320000001/xslC_X01/primary_doc.xml" TargetMode="External"/><Relationship Id="rId177" Type="http://schemas.openxmlformats.org/officeDocument/2006/relationships/hyperlink" Target="https://www.startengine.com/skinzgg" TargetMode="External"/><Relationship Id="rId298" Type="http://schemas.openxmlformats.org/officeDocument/2006/relationships/hyperlink" Target="https://fundanna.com/equity/offer-summary/LEAFandASH" TargetMode="External"/><Relationship Id="rId198" Type="http://schemas.openxmlformats.org/officeDocument/2006/relationships/hyperlink" Target="https://republic.co/teooh" TargetMode="External"/><Relationship Id="rId197" Type="http://schemas.openxmlformats.org/officeDocument/2006/relationships/hyperlink" Target="https://www.sec.gov/Archives/edgar/data/1803793/000166919120000084/xslC_X01/primary_doc.xml" TargetMode="External"/><Relationship Id="rId196" Type="http://schemas.openxmlformats.org/officeDocument/2006/relationships/hyperlink" Target="https://netcapital.com/companies/yahyn" TargetMode="External"/><Relationship Id="rId195" Type="http://schemas.openxmlformats.org/officeDocument/2006/relationships/hyperlink" Target="https://www.sec.gov/Archives/edgar/data/1752109/000175210920000003/xslC_X01/primary_doc.xml" TargetMode="External"/><Relationship Id="rId199" Type="http://schemas.openxmlformats.org/officeDocument/2006/relationships/hyperlink" Target="https://www.sec.gov/Archives/edgar/data/1802096/000180209620000006/xslC_X01/primary_doc.xml" TargetMode="External"/><Relationship Id="rId150" Type="http://schemas.openxmlformats.org/officeDocument/2006/relationships/hyperlink" Target="https://www.sec.gov/Archives/edgar/data/1617797/000146581819000035/xslC_X01/primary_doc.xml" TargetMode="External"/><Relationship Id="rId271" Type="http://schemas.openxmlformats.org/officeDocument/2006/relationships/hyperlink" Target="https://www.sec.gov/Archives/edgar/data/1803418/000167025420000110/xslC_X01/primary_doc.xml" TargetMode="External"/><Relationship Id="rId392" Type="http://schemas.openxmlformats.org/officeDocument/2006/relationships/hyperlink" Target="https://netcapital.com/companies/stemsation" TargetMode="External"/><Relationship Id="rId270" Type="http://schemas.openxmlformats.org/officeDocument/2006/relationships/hyperlink" Target="https://wefunder.com/mindcurrent" TargetMode="External"/><Relationship Id="rId391" Type="http://schemas.openxmlformats.org/officeDocument/2006/relationships/hyperlink" Target="https://www.sec.gov/Archives/edgar/data/1794263/000166828719000065/xslC_X01/primary_doc.xml" TargetMode="External"/><Relationship Id="rId390" Type="http://schemas.openxmlformats.org/officeDocument/2006/relationships/hyperlink" Target="https://www.razitall.com/pitch/journify-wellbeing-coaching-burnout-preventio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us.trucrowd.com/equity/offer-summary/WeedsNeverSleep" TargetMode="External"/><Relationship Id="rId3" Type="http://schemas.openxmlformats.org/officeDocument/2006/relationships/hyperlink" Target="https://disclosurequest.com/form/weeds-never-sleep-llc/0001778006-19-000001/?returnURL=" TargetMode="External"/><Relationship Id="rId149" Type="http://schemas.openxmlformats.org/officeDocument/2006/relationships/hyperlink" Target="https://republic.co/story2" TargetMode="External"/><Relationship Id="rId4" Type="http://schemas.openxmlformats.org/officeDocument/2006/relationships/hyperlink" Target="https://www.startengine.com/storen-technologies" TargetMode="External"/><Relationship Id="rId148" Type="http://schemas.openxmlformats.org/officeDocument/2006/relationships/hyperlink" Target="https://www.sec.gov/Archives/edgar/data/1751794/000167025419000606/xslC_X01/primary_doc.xml" TargetMode="External"/><Relationship Id="rId269" Type="http://schemas.openxmlformats.org/officeDocument/2006/relationships/hyperlink" Target="https://www.sec.gov/Archives/edgar/data/1791400/000167025419000627/xslC_X01/primary_doc.xml" TargetMode="External"/><Relationship Id="rId9" Type="http://schemas.openxmlformats.org/officeDocument/2006/relationships/hyperlink" Target="https://www.sec.gov/Archives/edgar/data/1765620/000166516019000777/xslC_X01/primary_doc.xml" TargetMode="External"/><Relationship Id="rId143" Type="http://schemas.openxmlformats.org/officeDocument/2006/relationships/hyperlink" Target="https://wefunder.com/crafthouse.cocktails" TargetMode="External"/><Relationship Id="rId264" Type="http://schemas.openxmlformats.org/officeDocument/2006/relationships/hyperlink" Target="https://app.microventures.com/crowdfunding/goodwolf" TargetMode="External"/><Relationship Id="rId385" Type="http://schemas.openxmlformats.org/officeDocument/2006/relationships/hyperlink" Target="https://www.sec.gov/Archives/edgar/data/1789840/000167025419000610/xslC_X01/primary_doc.xml" TargetMode="External"/><Relationship Id="rId142" Type="http://schemas.openxmlformats.org/officeDocument/2006/relationships/hyperlink" Target="https://www.sec.gov/Archives/edgar/data/1722969/000166516019001173/xslC_X01/primary_doc.xml" TargetMode="External"/><Relationship Id="rId263" Type="http://schemas.openxmlformats.org/officeDocument/2006/relationships/hyperlink" Target="https://www.sec.gov/Archives/edgar/data/1805525/000180552520000002/xslC_X01/primary_doc.xml" TargetMode="External"/><Relationship Id="rId384" Type="http://schemas.openxmlformats.org/officeDocument/2006/relationships/hyperlink" Target="https://wefunder.com/pressure.games" TargetMode="External"/><Relationship Id="rId141" Type="http://schemas.openxmlformats.org/officeDocument/2006/relationships/hyperlink" Target="https://www.startengine.com/atlis-motor-vehicles-3" TargetMode="External"/><Relationship Id="rId262" Type="http://schemas.openxmlformats.org/officeDocument/2006/relationships/hyperlink" Target="https://app.microventures.com/crowdfunding/kapitalwise" TargetMode="External"/><Relationship Id="rId383" Type="http://schemas.openxmlformats.org/officeDocument/2006/relationships/hyperlink" Target="https://www.sec.gov/Archives/edgar/data/1793349/000179334920000001/xslC_X01/primary_doc.xml" TargetMode="External"/><Relationship Id="rId140" Type="http://schemas.openxmlformats.org/officeDocument/2006/relationships/hyperlink" Target="https://www.sec.gov/Archives/edgar/data/1792907/000167025419000675/xslC_X01/primary_doc.xml" TargetMode="External"/><Relationship Id="rId261" Type="http://schemas.openxmlformats.org/officeDocument/2006/relationships/hyperlink" Target="https://www.sec.gov/Archives/edgar/data/1803581/000180358120000002/xslC_X01/primary_doc.xml" TargetMode="External"/><Relationship Id="rId382" Type="http://schemas.openxmlformats.org/officeDocument/2006/relationships/hyperlink" Target="https://republic.co/growing-talent" TargetMode="External"/><Relationship Id="rId5" Type="http://schemas.openxmlformats.org/officeDocument/2006/relationships/hyperlink" Target="https://www.sec.gov/Archives/edgar/data/1720258/000166516019000762/xslC_X01/primary_doc.xml" TargetMode="External"/><Relationship Id="rId147" Type="http://schemas.openxmlformats.org/officeDocument/2006/relationships/hyperlink" Target="https://wefunder.com/billionvegans" TargetMode="External"/><Relationship Id="rId268" Type="http://schemas.openxmlformats.org/officeDocument/2006/relationships/hyperlink" Target="https://wefunder.com/pippysips" TargetMode="External"/><Relationship Id="rId389" Type="http://schemas.openxmlformats.org/officeDocument/2006/relationships/hyperlink" Target="https://www.sec.gov/Archives/edgar/data/1654300/000165430020000002/xslC_X01/primary_doc.xml" TargetMode="External"/><Relationship Id="rId6" Type="http://schemas.openxmlformats.org/officeDocument/2006/relationships/hyperlink" Target="https://www.razitall.com/pitch/the-ag-drone-an-eye-in-the-sky-for-farmers" TargetMode="External"/><Relationship Id="rId146" Type="http://schemas.openxmlformats.org/officeDocument/2006/relationships/hyperlink" Target="https://www.sec.gov/Archives/edgar/data/1790674/000179067419000002/xslC_X01/primary_doc.xml" TargetMode="External"/><Relationship Id="rId267" Type="http://schemas.openxmlformats.org/officeDocument/2006/relationships/hyperlink" Target="https://www.sec.gov/Archives/edgar/data/1800214/000167025420000174/xslC_X01/primary_doc.xml" TargetMode="External"/><Relationship Id="rId388" Type="http://schemas.openxmlformats.org/officeDocument/2006/relationships/hyperlink" Target="https://wunderfund.co/projects/choicetrade/" TargetMode="External"/><Relationship Id="rId7" Type="http://schemas.openxmlformats.org/officeDocument/2006/relationships/hyperlink" Target="https://disclosurequest.com/form/palouse-ag-drone-services-llc/0001668287-18-000070/?returnURL=" TargetMode="External"/><Relationship Id="rId145" Type="http://schemas.openxmlformats.org/officeDocument/2006/relationships/hyperlink" Target="https://republic.co/delee" TargetMode="External"/><Relationship Id="rId266" Type="http://schemas.openxmlformats.org/officeDocument/2006/relationships/hyperlink" Target="https://wefunder.com/calyx.cultivation" TargetMode="External"/><Relationship Id="rId387" Type="http://schemas.openxmlformats.org/officeDocument/2006/relationships/hyperlink" Target="https://www.sec.gov/Archives/edgar/data/1776303/000167025419000633/xslC_X01/primary_doc.xml" TargetMode="External"/><Relationship Id="rId8" Type="http://schemas.openxmlformats.org/officeDocument/2006/relationships/hyperlink" Target="https://www.startengine.com/el-tinieblo-international" TargetMode="External"/><Relationship Id="rId144" Type="http://schemas.openxmlformats.org/officeDocument/2006/relationships/hyperlink" Target="https://www.sec.gov/Archives/edgar/data/1788204/000167025419000640/xslC_X01/primary_doc.xml" TargetMode="External"/><Relationship Id="rId265" Type="http://schemas.openxmlformats.org/officeDocument/2006/relationships/hyperlink" Target="https://www.sec.gov/Archives/edgar/data/1805743/000180574320000002/xslC_X01/primary_doc.xml" TargetMode="External"/><Relationship Id="rId386" Type="http://schemas.openxmlformats.org/officeDocument/2006/relationships/hyperlink" Target="https://wefunder.com/appappinc" TargetMode="External"/><Relationship Id="rId260" Type="http://schemas.openxmlformats.org/officeDocument/2006/relationships/hyperlink" Target="https://www.seedinvest.com/fluux/pre.seed/highlights" TargetMode="External"/><Relationship Id="rId381" Type="http://schemas.openxmlformats.org/officeDocument/2006/relationships/hyperlink" Target="https://www.sec.gov/Archives/edgar/data/1788672/000167025419000635/xslC_X01/primary_doc.xml" TargetMode="External"/><Relationship Id="rId380" Type="http://schemas.openxmlformats.org/officeDocument/2006/relationships/hyperlink" Target="https://wefunder.com/leonandgeorge" TargetMode="External"/><Relationship Id="rId139" Type="http://schemas.openxmlformats.org/officeDocument/2006/relationships/hyperlink" Target="https://wefunder.com/back.to.space" TargetMode="External"/><Relationship Id="rId138" Type="http://schemas.openxmlformats.org/officeDocument/2006/relationships/hyperlink" Target="https://www.sec.gov/Archives/edgar/data/1702371/000170237119000002/xslC_X01/primary_doc.xml" TargetMode="External"/><Relationship Id="rId259" Type="http://schemas.openxmlformats.org/officeDocument/2006/relationships/hyperlink" Target="https://www.sec.gov/Archives/edgar/data/1754733/000178043920000009/xslC_X01/primary_doc.xml" TargetMode="External"/><Relationship Id="rId137" Type="http://schemas.openxmlformats.org/officeDocument/2006/relationships/hyperlink" Target="https://republic.co/hive" TargetMode="External"/><Relationship Id="rId258" Type="http://schemas.openxmlformats.org/officeDocument/2006/relationships/hyperlink" Target="https://fundopolis.com/raisedetails?id=4977250b-c81b-4947-a175-c0b0b037f097" TargetMode="External"/><Relationship Id="rId379" Type="http://schemas.openxmlformats.org/officeDocument/2006/relationships/hyperlink" Target="https://www.sec.gov/Archives/edgar/data/1764730/000173069519000004/xslC_X01/primary_doc.xml" TargetMode="External"/><Relationship Id="rId132" Type="http://schemas.openxmlformats.org/officeDocument/2006/relationships/hyperlink" Target="https://www.sec.gov/Archives/edgar/data/1661779/000110465920032595/xslC_X01/primary_doc.xml" TargetMode="External"/><Relationship Id="rId253" Type="http://schemas.openxmlformats.org/officeDocument/2006/relationships/hyperlink" Target="https://www.sec.gov/Archives/edgar/data/1713366/000167025419000673/xslC_X01/primary_doc.xml" TargetMode="External"/><Relationship Id="rId374" Type="http://schemas.openxmlformats.org/officeDocument/2006/relationships/hyperlink" Target="https://fundopolis.com/raisedetails?id=9cb5cc21-8150-4f49-b910-ddd18591159e" TargetMode="External"/><Relationship Id="rId495" Type="http://schemas.openxmlformats.org/officeDocument/2006/relationships/hyperlink" Target="https://www.sec.gov/Archives/edgar/data/1799973/000179997320000001/xslC_X01/primary_doc.xml" TargetMode="External"/><Relationship Id="rId131" Type="http://schemas.openxmlformats.org/officeDocument/2006/relationships/hyperlink" Target="https://us.trucrowd.com/equity/offer-summary/StartEngine2" TargetMode="External"/><Relationship Id="rId252" Type="http://schemas.openxmlformats.org/officeDocument/2006/relationships/hyperlink" Target="https://wefunder.com/incluzion" TargetMode="External"/><Relationship Id="rId373" Type="http://schemas.openxmlformats.org/officeDocument/2006/relationships/hyperlink" Target="https://www.sec.gov/Archives/edgar/data/1706429/000170642920000001/xslC_X01/primary_doc.xml" TargetMode="External"/><Relationship Id="rId494" Type="http://schemas.openxmlformats.org/officeDocument/2006/relationships/hyperlink" Target="https://republic.co/dispatch-goods" TargetMode="External"/><Relationship Id="rId130" Type="http://schemas.openxmlformats.org/officeDocument/2006/relationships/hyperlink" Target="https://www.sec.gov/Archives/edgar/data/1796036/000166516019001165/xslC_X01/primary_doc.xml" TargetMode="External"/><Relationship Id="rId251" Type="http://schemas.openxmlformats.org/officeDocument/2006/relationships/hyperlink" Target="https://www.sec.gov/Archives/edgar/data/1788193/000167025420000074/xslC_X01/primary_doc.xml" TargetMode="External"/><Relationship Id="rId372" Type="http://schemas.openxmlformats.org/officeDocument/2006/relationships/hyperlink" Target="https://republic.co/wandering-barman" TargetMode="External"/><Relationship Id="rId493" Type="http://schemas.openxmlformats.org/officeDocument/2006/relationships/hyperlink" Target="https://www.sec.gov/Archives/edgar/data/1794960/000179496020000001/xslC_X01/primary_doc.xml" TargetMode="External"/><Relationship Id="rId250" Type="http://schemas.openxmlformats.org/officeDocument/2006/relationships/hyperlink" Target="https://wefunder.com/colors" TargetMode="External"/><Relationship Id="rId371" Type="http://schemas.openxmlformats.org/officeDocument/2006/relationships/hyperlink" Target="https://www.sec.gov/Archives/edgar/data/1789369/000178936920000001/xslC_X01/primary_doc.xml" TargetMode="External"/><Relationship Id="rId492" Type="http://schemas.openxmlformats.org/officeDocument/2006/relationships/hyperlink" Target="https://republic.co/fashwire" TargetMode="External"/><Relationship Id="rId136" Type="http://schemas.openxmlformats.org/officeDocument/2006/relationships/hyperlink" Target="https://www.sec.gov/Archives/edgar/data/1709539/000167025420000070/xslC_X01/primary_doc.xml" TargetMode="External"/><Relationship Id="rId257" Type="http://schemas.openxmlformats.org/officeDocument/2006/relationships/hyperlink" Target="https://www.sec.gov/Archives/edgar/data/1804340/000166516020000233/xslC_X01/primary_doc.xml" TargetMode="External"/><Relationship Id="rId378" Type="http://schemas.openxmlformats.org/officeDocument/2006/relationships/hyperlink" Target="https://republic.co/sweetberry" TargetMode="External"/><Relationship Id="rId499" Type="http://schemas.openxmlformats.org/officeDocument/2006/relationships/hyperlink" Target="https://www.sec.gov/Archives/edgar/data/1801449/000166516020000075/xslC_X01/primary_doc.xml" TargetMode="External"/><Relationship Id="rId135" Type="http://schemas.openxmlformats.org/officeDocument/2006/relationships/hyperlink" Target="https://wefunder.com/sharkwheel" TargetMode="External"/><Relationship Id="rId256" Type="http://schemas.openxmlformats.org/officeDocument/2006/relationships/hyperlink" Target="https://www.startengine.com/tuffypacks" TargetMode="External"/><Relationship Id="rId377" Type="http://schemas.openxmlformats.org/officeDocument/2006/relationships/hyperlink" Target="https://www.sec.gov/Archives/edgar/data/1730695/000173069519000005/xslC_X01/primary_doc.xml" TargetMode="External"/><Relationship Id="rId498" Type="http://schemas.openxmlformats.org/officeDocument/2006/relationships/hyperlink" Target="https://www.startengine.com/soko" TargetMode="External"/><Relationship Id="rId134" Type="http://schemas.openxmlformats.org/officeDocument/2006/relationships/hyperlink" Target="https://www.sec.gov/Archives/edgar/data/1629933/000167025419000557/xslC_X01/primary_doc.xml" TargetMode="External"/><Relationship Id="rId255" Type="http://schemas.openxmlformats.org/officeDocument/2006/relationships/hyperlink" Target="https://www.sec.gov/Archives/edgar/data/1722138/000172213820000001/xslC_X01/primary_doc.xml" TargetMode="External"/><Relationship Id="rId376" Type="http://schemas.openxmlformats.org/officeDocument/2006/relationships/hyperlink" Target="https://republic.co/ternio" TargetMode="External"/><Relationship Id="rId497" Type="http://schemas.openxmlformats.org/officeDocument/2006/relationships/hyperlink" Target="https://www.sec.gov/Archives/edgar/data/1683872/000166516020000186/xslC_X01/primary_doc.xml" TargetMode="External"/><Relationship Id="rId133" Type="http://schemas.openxmlformats.org/officeDocument/2006/relationships/hyperlink" Target="https://wefunder.com/dented.brick.distillery" TargetMode="External"/><Relationship Id="rId254" Type="http://schemas.openxmlformats.org/officeDocument/2006/relationships/hyperlink" Target="https://www.seedinvest.com/politiscope/seed/highlights" TargetMode="External"/><Relationship Id="rId375" Type="http://schemas.openxmlformats.org/officeDocument/2006/relationships/hyperlink" Target="https://www.sec.gov/Archives/edgar/data/1792908/000164460019000029/xslC_X01/primary_doc.xml" TargetMode="External"/><Relationship Id="rId496" Type="http://schemas.openxmlformats.org/officeDocument/2006/relationships/hyperlink" Target="https://www.startengine.com/sondors-electric-car-company" TargetMode="External"/><Relationship Id="rId172" Type="http://schemas.openxmlformats.org/officeDocument/2006/relationships/hyperlink" Target="https://www.seedinvest.com/mightyquinns/series.b" TargetMode="External"/><Relationship Id="rId293" Type="http://schemas.openxmlformats.org/officeDocument/2006/relationships/hyperlink" Target="https://www.sec.gov/Archives/edgar/data/1744757/000166919120000096/xslC_X01/primary_doc.xml" TargetMode="External"/><Relationship Id="rId171" Type="http://schemas.openxmlformats.org/officeDocument/2006/relationships/hyperlink" Target="http://roula.cc" TargetMode="External"/><Relationship Id="rId292" Type="http://schemas.openxmlformats.org/officeDocument/2006/relationships/hyperlink" Target="https://netcapital.com/companies/kingscrowd" TargetMode="External"/><Relationship Id="rId170" Type="http://schemas.openxmlformats.org/officeDocument/2006/relationships/hyperlink" Target="https://www.sec.gov/Archives/edgar/data/1801721/000180172120000001/xslC_X01/primary_doc.xml" TargetMode="External"/><Relationship Id="rId291" Type="http://schemas.openxmlformats.org/officeDocument/2006/relationships/hyperlink" Target="https://www.sec.gov/Archives/edgar/data/1776148/000166828719000015/xslC_X01/primary_doc.xml" TargetMode="External"/><Relationship Id="rId290" Type="http://schemas.openxmlformats.org/officeDocument/2006/relationships/hyperlink" Target="https://www.razitall.com/pitch/help-enable-electric-vehicle-road-travel-in-the-us" TargetMode="External"/><Relationship Id="rId165" Type="http://schemas.openxmlformats.org/officeDocument/2006/relationships/hyperlink" Target="https://wefunder.com/sunstate.laboratories" TargetMode="External"/><Relationship Id="rId286" Type="http://schemas.openxmlformats.org/officeDocument/2006/relationships/hyperlink" Target="https://fundanna.com/equity/offer-summary/420RealEstate" TargetMode="External"/><Relationship Id="rId164" Type="http://schemas.openxmlformats.org/officeDocument/2006/relationships/hyperlink" Target="https://www.sec.gov/Archives/edgar/data/1702255/000166516020000149/xslC_X01/primary_doc.xml" TargetMode="External"/><Relationship Id="rId285" Type="http://schemas.openxmlformats.org/officeDocument/2006/relationships/hyperlink" Target="https://www.sec.gov/Archives/edgar/data/1773714/000177371420000001/xslC_X01/primary_doc.xml" TargetMode="External"/><Relationship Id="rId163" Type="http://schemas.openxmlformats.org/officeDocument/2006/relationships/hyperlink" Target="https://www.startengine.com/laneaxis-inc" TargetMode="External"/><Relationship Id="rId284" Type="http://schemas.openxmlformats.org/officeDocument/2006/relationships/hyperlink" Target="https://fundanna.com/equity/offer-summary/CannaSOS" TargetMode="External"/><Relationship Id="rId162" Type="http://schemas.openxmlformats.org/officeDocument/2006/relationships/hyperlink" Target="https://www.sec.gov/Archives/edgar/data/1779318/000177931820000002/xslC_X01/primary_doc.xml" TargetMode="External"/><Relationship Id="rId283" Type="http://schemas.openxmlformats.org/officeDocument/2006/relationships/hyperlink" Target="https://www.sec.gov/Archives/edgar/data/1767762/000176776219000001/xslC_X01/primary_doc.xml" TargetMode="External"/><Relationship Id="rId169" Type="http://schemas.openxmlformats.org/officeDocument/2006/relationships/hyperlink" Target="https://app.microventures.com/crowdfunding/roula" TargetMode="External"/><Relationship Id="rId168" Type="http://schemas.openxmlformats.org/officeDocument/2006/relationships/hyperlink" Target="https://www.sec.gov/Archives/edgar/data/1792754/000179275419000003/xslC_X01/primary_doc.xml" TargetMode="External"/><Relationship Id="rId289" Type="http://schemas.openxmlformats.org/officeDocument/2006/relationships/hyperlink" Target="https://www.sec.gov/Archives/edgar/data/1773062/000166610219000015/xslC_X01/primary_doc.xml" TargetMode="External"/><Relationship Id="rId167" Type="http://schemas.openxmlformats.org/officeDocument/2006/relationships/hyperlink" Target="https://equifundcfp.com/illusio/" TargetMode="External"/><Relationship Id="rId288" Type="http://schemas.openxmlformats.org/officeDocument/2006/relationships/hyperlink" Target="https://www.mrcrowd.com/company/CP" TargetMode="External"/><Relationship Id="rId166" Type="http://schemas.openxmlformats.org/officeDocument/2006/relationships/hyperlink" Target="https://www.sec.gov/Archives/edgar/data/1800204/000167025420000055/xslC_X01/primary_doc.xml" TargetMode="External"/><Relationship Id="rId287" Type="http://schemas.openxmlformats.org/officeDocument/2006/relationships/hyperlink" Target="https://www.sec.gov/Archives/edgar/data/1775091/000177509120000001/xslC_X01/primary_doc.xml" TargetMode="External"/><Relationship Id="rId161" Type="http://schemas.openxmlformats.org/officeDocument/2006/relationships/hyperlink" Target="https://republic.co/fleeting" TargetMode="External"/><Relationship Id="rId282" Type="http://schemas.openxmlformats.org/officeDocument/2006/relationships/hyperlink" Target="https://republic.co/bounty0x" TargetMode="External"/><Relationship Id="rId160" Type="http://schemas.openxmlformats.org/officeDocument/2006/relationships/hyperlink" Target="https://www.sec.gov/Archives/edgar/data/1799231/000179923120000001/xslC_X01/primary_doc.xml" TargetMode="External"/><Relationship Id="rId281" Type="http://schemas.openxmlformats.org/officeDocument/2006/relationships/hyperlink" Target="https://www.sec.gov/Archives/edgar/data/1772451/000166828719000012/xslC_X01/primary_doc.xml" TargetMode="External"/><Relationship Id="rId280" Type="http://schemas.openxmlformats.org/officeDocument/2006/relationships/hyperlink" Target="https://www.razitall.com/pitch/the-plugsby-house-a-creative-co-living-community" TargetMode="External"/><Relationship Id="rId159" Type="http://schemas.openxmlformats.org/officeDocument/2006/relationships/hyperlink" Target="https://fundanna.com/equity/offer-summary/Hempazon" TargetMode="External"/><Relationship Id="rId154" Type="http://schemas.openxmlformats.org/officeDocument/2006/relationships/hyperlink" Target="https://www.sec.gov/Archives/edgar/data/1789108/000167025419000694/xslC_X01/primary_doc.xml" TargetMode="External"/><Relationship Id="rId275" Type="http://schemas.openxmlformats.org/officeDocument/2006/relationships/hyperlink" Target="https://www.sec.gov/Archives/edgar/data/1798352/000166919120000120/xslC_X01/primary_doc.xml" TargetMode="External"/><Relationship Id="rId396" Type="http://schemas.openxmlformats.org/officeDocument/2006/relationships/hyperlink" Target="https://fundopolis.com/raisedetails?id=aa091a32-310e-4491-9f4f-ca7a340b643a" TargetMode="External"/><Relationship Id="rId153" Type="http://schemas.openxmlformats.org/officeDocument/2006/relationships/hyperlink" Target="https://wefunder.com/robovet" TargetMode="External"/><Relationship Id="rId274" Type="http://schemas.openxmlformats.org/officeDocument/2006/relationships/hyperlink" Target="https://netcapital.com/companies/ask" TargetMode="External"/><Relationship Id="rId395" Type="http://schemas.openxmlformats.org/officeDocument/2006/relationships/hyperlink" Target="https://www.sec.gov/Archives/edgar/data/1787611/000166919120000047/xslC_X01/primary_doc.xml" TargetMode="External"/><Relationship Id="rId152" Type="http://schemas.openxmlformats.org/officeDocument/2006/relationships/hyperlink" Target="https://www.sec.gov/Archives/edgar/data/1701666/000166516019001181/xslC_X01/primary_doc.xml" TargetMode="External"/><Relationship Id="rId273" Type="http://schemas.openxmlformats.org/officeDocument/2006/relationships/hyperlink" Target="https://www.sec.gov/Archives/edgar/data/1802405/000167025420000088/xslC_X01/primary_doc.xml" TargetMode="External"/><Relationship Id="rId394" Type="http://schemas.openxmlformats.org/officeDocument/2006/relationships/hyperlink" Target="https://netcapital.com/companies/attorney-et-al" TargetMode="External"/><Relationship Id="rId151" Type="http://schemas.openxmlformats.org/officeDocument/2006/relationships/hyperlink" Target="https://www.startengine.com/akibah-health" TargetMode="External"/><Relationship Id="rId272" Type="http://schemas.openxmlformats.org/officeDocument/2006/relationships/hyperlink" Target="https://wefunder.com/fundcurastory" TargetMode="External"/><Relationship Id="rId393" Type="http://schemas.openxmlformats.org/officeDocument/2006/relationships/hyperlink" Target="https://www.sec.gov/Archives/edgar/data/1398488/000166919120000092/xslC_X01/primary_doc.xml" TargetMode="External"/><Relationship Id="rId158" Type="http://schemas.openxmlformats.org/officeDocument/2006/relationships/hyperlink" Target="http://genobank.io" TargetMode="External"/><Relationship Id="rId279" Type="http://schemas.openxmlformats.org/officeDocument/2006/relationships/hyperlink" Target="https://www.sec.gov/Archives/edgar/data/1733206/000166516020000016/xslC_X01/primary_doc.xml" TargetMode="External"/><Relationship Id="rId157" Type="http://schemas.openxmlformats.org/officeDocument/2006/relationships/hyperlink" Target="https://www.sec.gov/Archives/edgar/data/1780122/000178012219000003/xslC_X01/primary_doc.xml" TargetMode="External"/><Relationship Id="rId278" Type="http://schemas.openxmlformats.org/officeDocument/2006/relationships/hyperlink" Target="https://www.startengine.com/eclipsedx" TargetMode="External"/><Relationship Id="rId399" Type="http://schemas.openxmlformats.org/officeDocument/2006/relationships/hyperlink" Target="https://www.sec.gov/Archives/edgar/data/1794562/000178043920000007/xslC_X01/primary_doc.xml" TargetMode="External"/><Relationship Id="rId156" Type="http://schemas.openxmlformats.org/officeDocument/2006/relationships/hyperlink" Target="https://republic.co/genobank-io" TargetMode="External"/><Relationship Id="rId277" Type="http://schemas.openxmlformats.org/officeDocument/2006/relationships/hyperlink" Target="https://www.sec.gov/Archives/edgar/data/1792121/000179212120000002/xslC_X01/primary_doc.xml" TargetMode="External"/><Relationship Id="rId398" Type="http://schemas.openxmlformats.org/officeDocument/2006/relationships/hyperlink" Target="https://fundopolis.com/raisedetails?id=44bcab46-eae2-4662-acd1-f01b84d958ff" TargetMode="External"/><Relationship Id="rId155" Type="http://schemas.openxmlformats.org/officeDocument/2006/relationships/hyperlink" Target="http://genobank.io" TargetMode="External"/><Relationship Id="rId276" Type="http://schemas.openxmlformats.org/officeDocument/2006/relationships/hyperlink" Target="https://republic.co/event-hollow" TargetMode="External"/><Relationship Id="rId397" Type="http://schemas.openxmlformats.org/officeDocument/2006/relationships/hyperlink" Target="https://www.sec.gov/Archives/edgar/data/1793384/000164460019000027/xslC_X01/primary_doc.xml" TargetMode="External"/><Relationship Id="rId40" Type="http://schemas.openxmlformats.org/officeDocument/2006/relationships/hyperlink" Target="https://www.sec.gov/Archives/edgar/data/1799584/000179958420000003/xslC_X01/primary_doc.xml" TargetMode="External"/><Relationship Id="rId42" Type="http://schemas.openxmlformats.org/officeDocument/2006/relationships/hyperlink" Target="https://www.sec.gov/Archives/edgar/data/1708246/000170824620000001/xslC_X01/primary_doc.xml" TargetMode="External"/><Relationship Id="rId41" Type="http://schemas.openxmlformats.org/officeDocument/2006/relationships/hyperlink" Target="https://app.microventures.com/crowdfunding/jetoptera" TargetMode="External"/><Relationship Id="rId44" Type="http://schemas.openxmlformats.org/officeDocument/2006/relationships/hyperlink" Target="https://www.sec.gov/Archives/edgar/data/1806364/000167025420000189/xslC_X01/primary_doc.xml" TargetMode="External"/><Relationship Id="rId43" Type="http://schemas.openxmlformats.org/officeDocument/2006/relationships/hyperlink" Target="https://wefunder.com/mevo" TargetMode="External"/><Relationship Id="rId46" Type="http://schemas.openxmlformats.org/officeDocument/2006/relationships/hyperlink" Target="https://www.sec.gov/Archives/edgar/data/1803906/000166919120000138/xslC_X01/primary_doc.xml" TargetMode="External"/><Relationship Id="rId45" Type="http://schemas.openxmlformats.org/officeDocument/2006/relationships/hyperlink" Target="https://netcapital.com/companies/trustfund" TargetMode="External"/><Relationship Id="rId509" Type="http://schemas.openxmlformats.org/officeDocument/2006/relationships/hyperlink" Target="https://wefunder.com/soar" TargetMode="External"/><Relationship Id="rId508" Type="http://schemas.openxmlformats.org/officeDocument/2006/relationships/hyperlink" Target="http://soar.com" TargetMode="External"/><Relationship Id="rId629" Type="http://schemas.openxmlformats.org/officeDocument/2006/relationships/hyperlink" Target="https://www.sec.gov/Archives/edgar/data/1808346/000174605920000102/xslC_X01/primary_doc.xml" TargetMode="External"/><Relationship Id="rId503" Type="http://schemas.openxmlformats.org/officeDocument/2006/relationships/hyperlink" Target="https://www.sec.gov/Archives/edgar/data/1799227/000166516020000079/xslC_X01/primary_doc.xml" TargetMode="External"/><Relationship Id="rId624" Type="http://schemas.openxmlformats.org/officeDocument/2006/relationships/hyperlink" Target="https://mainvest.com/b/av-seals-labor-group-llc" TargetMode="External"/><Relationship Id="rId502" Type="http://schemas.openxmlformats.org/officeDocument/2006/relationships/hyperlink" Target="https://www.startengine.com/yae-organics" TargetMode="External"/><Relationship Id="rId623" Type="http://schemas.openxmlformats.org/officeDocument/2006/relationships/hyperlink" Target="https://www.sec.gov/Archives/edgar/data/1798823/000179882320000002/xslC_X01/primary_doc.xml" TargetMode="External"/><Relationship Id="rId501" Type="http://schemas.openxmlformats.org/officeDocument/2006/relationships/hyperlink" Target="https://www.sec.gov/Archives/edgar/data/1801855/000166516020000071/xslC_X01/primary_doc.xml" TargetMode="External"/><Relationship Id="rId622" Type="http://schemas.openxmlformats.org/officeDocument/2006/relationships/hyperlink" Target="https://app.honeycombcredit.com/en/projects/11227-The-Wine-Collective" TargetMode="External"/><Relationship Id="rId500" Type="http://schemas.openxmlformats.org/officeDocument/2006/relationships/hyperlink" Target="https://www.startengine.com/frannys-manufacturing" TargetMode="External"/><Relationship Id="rId621" Type="http://schemas.openxmlformats.org/officeDocument/2006/relationships/hyperlink" Target="https://www.sec.gov/Archives/edgar/data/1805075/000180507520000002/xslC_X01/primary_doc.xml" TargetMode="External"/><Relationship Id="rId507" Type="http://schemas.openxmlformats.org/officeDocument/2006/relationships/hyperlink" Target="https://www.sec.gov/Archives/edgar/data/1796093/000167025420000014/xslC_X01/primary_doc.xml" TargetMode="External"/><Relationship Id="rId628" Type="http://schemas.openxmlformats.org/officeDocument/2006/relationships/hyperlink" Target="https://mainvest.com/b/antonioscupcakes" TargetMode="External"/><Relationship Id="rId506" Type="http://schemas.openxmlformats.org/officeDocument/2006/relationships/hyperlink" Target="https://wefunder.com/the.greatest.adventure.on.earth" TargetMode="External"/><Relationship Id="rId627" Type="http://schemas.openxmlformats.org/officeDocument/2006/relationships/hyperlink" Target="https://www.sec.gov/Archives/edgar/data/1807964/000174605920000100/xslC_X01/primary_doc.xml" TargetMode="External"/><Relationship Id="rId505" Type="http://schemas.openxmlformats.org/officeDocument/2006/relationships/hyperlink" Target="https://www.sec.gov/Archives/edgar/data/1801610/000180161020000002/xslC_X01/primary_doc.xml" TargetMode="External"/><Relationship Id="rId626" Type="http://schemas.openxmlformats.org/officeDocument/2006/relationships/hyperlink" Target="https://mainvest.com/b/contempo-aesthetics" TargetMode="External"/><Relationship Id="rId504" Type="http://schemas.openxmlformats.org/officeDocument/2006/relationships/hyperlink" Target="https://republic.co/puregreen" TargetMode="External"/><Relationship Id="rId625" Type="http://schemas.openxmlformats.org/officeDocument/2006/relationships/hyperlink" Target="https://www.sec.gov/Archives/edgar/data/1807302/000174605920000099/xslC_X01/primary_doc.xml" TargetMode="External"/><Relationship Id="rId48" Type="http://schemas.openxmlformats.org/officeDocument/2006/relationships/hyperlink" Target="https://www.sec.gov/Archives/edgar/data/1759403/000121390020007152/xslC_X01/primary_doc.xml" TargetMode="External"/><Relationship Id="rId47" Type="http://schemas.openxmlformats.org/officeDocument/2006/relationships/hyperlink" Target="https://republic.co/grit" TargetMode="External"/><Relationship Id="rId49" Type="http://schemas.openxmlformats.org/officeDocument/2006/relationships/hyperlink" Target="https://wefunder.com/sidehustle.app" TargetMode="External"/><Relationship Id="rId620" Type="http://schemas.openxmlformats.org/officeDocument/2006/relationships/hyperlink" Target="https://app.honeycombcredit.com/en/projects/11333-ScHE-Corp" TargetMode="External"/><Relationship Id="rId31" Type="http://schemas.openxmlformats.org/officeDocument/2006/relationships/hyperlink" Target="https://app.microventures.com/crowdfunding/a-cajun-life" TargetMode="External"/><Relationship Id="rId30" Type="http://schemas.openxmlformats.org/officeDocument/2006/relationships/hyperlink" Target="https://www.sec.gov/Archives/edgar/data/1736388/000166516020000248/xslC_X01/primary_doc.xml" TargetMode="External"/><Relationship Id="rId33" Type="http://schemas.openxmlformats.org/officeDocument/2006/relationships/hyperlink" Target="https://www.startengine.com/penny-luck" TargetMode="External"/><Relationship Id="rId32" Type="http://schemas.openxmlformats.org/officeDocument/2006/relationships/hyperlink" Target="https://www.sec.gov/Archives/edgar/data/1689683/000168968320000002/xslC_X01/primary_doc.xml" TargetMode="External"/><Relationship Id="rId35" Type="http://schemas.openxmlformats.org/officeDocument/2006/relationships/hyperlink" Target="https://www.startengine.com/younggodbrands" TargetMode="External"/><Relationship Id="rId34" Type="http://schemas.openxmlformats.org/officeDocument/2006/relationships/hyperlink" Target="https://www.sec.gov/Archives/edgar/data/1807032/000166516020000258/xslC_X01/primary_doc.xml" TargetMode="External"/><Relationship Id="rId619" Type="http://schemas.openxmlformats.org/officeDocument/2006/relationships/hyperlink" Target="https://www.sec.gov/Archives/edgar/data/1803497/000180349720000001/xslC_X01/primary_doc.xml" TargetMode="External"/><Relationship Id="rId618" Type="http://schemas.openxmlformats.org/officeDocument/2006/relationships/hyperlink" Target="https://app.honeycombcredit.com/en/projects/11334-PointBreezeway-LLC" TargetMode="External"/><Relationship Id="rId613" Type="http://schemas.openxmlformats.org/officeDocument/2006/relationships/hyperlink" Target="https://www.sec.gov/Archives/edgar/data/1801534/000174605920000029/xslC_X01/primary_doc.xml" TargetMode="External"/><Relationship Id="rId612" Type="http://schemas.openxmlformats.org/officeDocument/2006/relationships/hyperlink" Target="https://mainvest.com/businesses/stoneman-brewery" TargetMode="External"/><Relationship Id="rId611" Type="http://schemas.openxmlformats.org/officeDocument/2006/relationships/hyperlink" Target="https://www.sec.gov/Archives/edgar/data/1801405/000166516020000061/xslC_X01/primary_doc.xml" TargetMode="External"/><Relationship Id="rId610" Type="http://schemas.openxmlformats.org/officeDocument/2006/relationships/hyperlink" Target="https://www.startengine.com/an-angry-boy" TargetMode="External"/><Relationship Id="rId617" Type="http://schemas.openxmlformats.org/officeDocument/2006/relationships/hyperlink" Target="https://www.sec.gov/Archives/edgar/data/1800828/000167025420000094/xslC_X01/primary_doc.xml" TargetMode="External"/><Relationship Id="rId616" Type="http://schemas.openxmlformats.org/officeDocument/2006/relationships/hyperlink" Target="https://wefunder.com/snake.oil.song" TargetMode="External"/><Relationship Id="rId615" Type="http://schemas.openxmlformats.org/officeDocument/2006/relationships/hyperlink" Target="https://www.sec.gov/Archives/edgar/data/1799484/000174605920000037/xslC_X01/primary_doc.xml" TargetMode="External"/><Relationship Id="rId614" Type="http://schemas.openxmlformats.org/officeDocument/2006/relationships/hyperlink" Target="https://mainvest.com/businesses/plum-island-grille" TargetMode="External"/><Relationship Id="rId37" Type="http://schemas.openxmlformats.org/officeDocument/2006/relationships/hyperlink" Target="https://wefunder.com/lifograph" TargetMode="External"/><Relationship Id="rId36" Type="http://schemas.openxmlformats.org/officeDocument/2006/relationships/hyperlink" Target="https://www.sec.gov/Archives/edgar/data/1805193/000166516020000251/xslC_X01/primary_doc.xml" TargetMode="External"/><Relationship Id="rId39" Type="http://schemas.openxmlformats.org/officeDocument/2006/relationships/hyperlink" Target="https://republic.co/wearwell" TargetMode="External"/><Relationship Id="rId38" Type="http://schemas.openxmlformats.org/officeDocument/2006/relationships/hyperlink" Target="https://www.sec.gov/Archives/edgar/data/1776308/000167025420000084/xslC_X01/primary_doc.xml" TargetMode="External"/><Relationship Id="rId20" Type="http://schemas.openxmlformats.org/officeDocument/2006/relationships/hyperlink" Target="https://us.trucrowd.com/equity/offer-summary/kulaBrands" TargetMode="External"/><Relationship Id="rId22" Type="http://schemas.openxmlformats.org/officeDocument/2006/relationships/hyperlink" Target="https://republic.co/axle-ai" TargetMode="External"/><Relationship Id="rId21" Type="http://schemas.openxmlformats.org/officeDocument/2006/relationships/hyperlink" Target="https://www.sec.gov/Archives/edgar/data/1706939/000170693919000002/xslC_X01/primary_doc.xml" TargetMode="External"/><Relationship Id="rId24" Type="http://schemas.openxmlformats.org/officeDocument/2006/relationships/hyperlink" Target="http://axle.ai" TargetMode="External"/><Relationship Id="rId23" Type="http://schemas.openxmlformats.org/officeDocument/2006/relationships/hyperlink" Target="https://www.sec.gov/Archives/edgar/data/1752964/000175296420000003/xslC_X01/primary_doc.xml" TargetMode="External"/><Relationship Id="rId409" Type="http://schemas.openxmlformats.org/officeDocument/2006/relationships/hyperlink" Target="https://www.sec.gov/Archives/edgar/data/1638850/000166516020000244/xslC_X01/primary_doc.xml" TargetMode="External"/><Relationship Id="rId404" Type="http://schemas.openxmlformats.org/officeDocument/2006/relationships/hyperlink" Target="https://republic.co/alpha-a" TargetMode="External"/><Relationship Id="rId525" Type="http://schemas.openxmlformats.org/officeDocument/2006/relationships/hyperlink" Target="https://www.sec.gov/Archives/edgar/data/1800755/000166516020000114/xslC_X01/primary_doc.xml" TargetMode="External"/><Relationship Id="rId403" Type="http://schemas.openxmlformats.org/officeDocument/2006/relationships/hyperlink" Target="https://www.sec.gov/Archives/edgar/data/1791378/000167025419000617/xslC_X01/primary_doc.xml" TargetMode="External"/><Relationship Id="rId524" Type="http://schemas.openxmlformats.org/officeDocument/2006/relationships/hyperlink" Target="https://www.startengine.com/gobq-grills" TargetMode="External"/><Relationship Id="rId402" Type="http://schemas.openxmlformats.org/officeDocument/2006/relationships/hyperlink" Target="https://wefunder.com/lyfetymes" TargetMode="External"/><Relationship Id="rId523" Type="http://schemas.openxmlformats.org/officeDocument/2006/relationships/hyperlink" Target="https://www.sec.gov/Archives/edgar/data/1585681/000166516020000109/xslC_X01/primary_doc.xml" TargetMode="External"/><Relationship Id="rId401" Type="http://schemas.openxmlformats.org/officeDocument/2006/relationships/hyperlink" Target="https://www.sec.gov/Archives/edgar/data/1787976/000178797619000007/xslC_X01/primary_doc.xml" TargetMode="External"/><Relationship Id="rId522" Type="http://schemas.openxmlformats.org/officeDocument/2006/relationships/hyperlink" Target="https://www.startengine.com/thoughtfull-toys-inc" TargetMode="External"/><Relationship Id="rId643" Type="http://schemas.openxmlformats.org/officeDocument/2006/relationships/vmlDrawing" Target="../drawings/vmlDrawing1.vml"/><Relationship Id="rId408" Type="http://schemas.openxmlformats.org/officeDocument/2006/relationships/hyperlink" Target="https://www.startengine.com/xti-aircraft" TargetMode="External"/><Relationship Id="rId529" Type="http://schemas.openxmlformats.org/officeDocument/2006/relationships/hyperlink" Target="https://www.sec.gov/Archives/edgar/data/1803721/000180372120000002/xslC_X01/primary_doc.xml" TargetMode="External"/><Relationship Id="rId407" Type="http://schemas.openxmlformats.org/officeDocument/2006/relationships/hyperlink" Target="https://www.sec.gov/Archives/edgar/data/1791125/000166516020000246/xslC_X01/primary_doc.xml" TargetMode="External"/><Relationship Id="rId528" Type="http://schemas.openxmlformats.org/officeDocument/2006/relationships/hyperlink" Target="https://www.startengine.com/a7fl" TargetMode="External"/><Relationship Id="rId406" Type="http://schemas.openxmlformats.org/officeDocument/2006/relationships/hyperlink" Target="https://www.startengine.com/vegaswinners" TargetMode="External"/><Relationship Id="rId527" Type="http://schemas.openxmlformats.org/officeDocument/2006/relationships/hyperlink" Target="https://www.sec.gov/Archives/edgar/data/1800826/000167025420000107/xslC_X01/primary_doc.xml" TargetMode="External"/><Relationship Id="rId405" Type="http://schemas.openxmlformats.org/officeDocument/2006/relationships/hyperlink" Target="https://www.sec.gov/Archives/edgar/data/1794484/000179448420000001/xslC_X01/primary_doc.xml" TargetMode="External"/><Relationship Id="rId526" Type="http://schemas.openxmlformats.org/officeDocument/2006/relationships/hyperlink" Target="https://wefunder.com/galacticadventures" TargetMode="External"/><Relationship Id="rId26" Type="http://schemas.openxmlformats.org/officeDocument/2006/relationships/hyperlink" Target="https://www.sec.gov/Archives/edgar/data/1806624/000166516020000225/xslC_X01/primary_doc.xml" TargetMode="External"/><Relationship Id="rId25" Type="http://schemas.openxmlformats.org/officeDocument/2006/relationships/hyperlink" Target="https://www.startengine.com/bruno-albouze-inc" TargetMode="External"/><Relationship Id="rId28" Type="http://schemas.openxmlformats.org/officeDocument/2006/relationships/hyperlink" Target="https://www.sec.gov/Archives/edgar/data/1802409/000167025420000099/xslC_X01/primary_doc.xml" TargetMode="External"/><Relationship Id="rId27" Type="http://schemas.openxmlformats.org/officeDocument/2006/relationships/hyperlink" Target="https://wefunder.com/firepie" TargetMode="External"/><Relationship Id="rId400" Type="http://schemas.openxmlformats.org/officeDocument/2006/relationships/hyperlink" Target="https://www.nextseed.com/offerings/blue-top" TargetMode="External"/><Relationship Id="rId521" Type="http://schemas.openxmlformats.org/officeDocument/2006/relationships/hyperlink" Target="https://www.sec.gov/Archives/edgar/data/1802762/000166919120000045/xslC_X01/primary_doc.xml" TargetMode="External"/><Relationship Id="rId642" Type="http://schemas.openxmlformats.org/officeDocument/2006/relationships/drawing" Target="../drawings/drawing1.xml"/><Relationship Id="rId29" Type="http://schemas.openxmlformats.org/officeDocument/2006/relationships/hyperlink" Target="https://www.startengine.com/r3printinginc" TargetMode="External"/><Relationship Id="rId520" Type="http://schemas.openxmlformats.org/officeDocument/2006/relationships/hyperlink" Target="https://netcapital.com/companies/deuce-drone" TargetMode="External"/><Relationship Id="rId641" Type="http://schemas.openxmlformats.org/officeDocument/2006/relationships/hyperlink" Target="https://www.sec.gov/Archives/edgar/data/1807927/000174605920000097/xslC_X01/primary_doc.xml" TargetMode="External"/><Relationship Id="rId640" Type="http://schemas.openxmlformats.org/officeDocument/2006/relationships/hyperlink" Target="https://mainvest.com/b/wanderlinger-brewery-chattanooga" TargetMode="External"/><Relationship Id="rId11" Type="http://schemas.openxmlformats.org/officeDocument/2006/relationships/hyperlink" Target="https://www.sec.gov/Archives/edgar/data/1777377/000166516019000782/xslC_X01/primary_doc.xml" TargetMode="External"/><Relationship Id="rId10" Type="http://schemas.openxmlformats.org/officeDocument/2006/relationships/hyperlink" Target="https://www.startengine.com/spero-cbd" TargetMode="External"/><Relationship Id="rId13" Type="http://schemas.openxmlformats.org/officeDocument/2006/relationships/hyperlink" Target="https://www.sec.gov/Archives/edgar/data/1654124/000166516019000786/xslC_X01/primary_doc.xml" TargetMode="External"/><Relationship Id="rId12" Type="http://schemas.openxmlformats.org/officeDocument/2006/relationships/hyperlink" Target="https://www.startengine.com/raytonone" TargetMode="External"/><Relationship Id="rId519" Type="http://schemas.openxmlformats.org/officeDocument/2006/relationships/hyperlink" Target="https://www.sec.gov/Archives/edgar/data/1800770/000167025420000065/xslC_X01/primary_doc.xml" TargetMode="External"/><Relationship Id="rId514" Type="http://schemas.openxmlformats.org/officeDocument/2006/relationships/hyperlink" Target="https://www.startengine.com/pienergy" TargetMode="External"/><Relationship Id="rId635" Type="http://schemas.openxmlformats.org/officeDocument/2006/relationships/hyperlink" Target="https://disclosurequest.com/form/big-kahuna-pineapple-drink-co-llc/0001805122-20-000001/?returnURL=" TargetMode="External"/><Relationship Id="rId513" Type="http://schemas.openxmlformats.org/officeDocument/2006/relationships/hyperlink" Target="https://www.sec.gov/Archives/edgar/data/1785626/000178562620000004/xslC_X01/primary_doc.xml" TargetMode="External"/><Relationship Id="rId634" Type="http://schemas.openxmlformats.org/officeDocument/2006/relationships/hyperlink" Target="https://app.honeycombcredit.com/en/projects/11383-Big-Kahuna-Pineapple-Drink-Company-LLC" TargetMode="External"/><Relationship Id="rId512" Type="http://schemas.openxmlformats.org/officeDocument/2006/relationships/hyperlink" Target="https://www.nextseed.com/offerings/zanbazan" TargetMode="External"/><Relationship Id="rId633" Type="http://schemas.openxmlformats.org/officeDocument/2006/relationships/hyperlink" Target="https://disclosurequest.com/form/stones-throw-hash,-llc/0001807930-20-000001/?returnURL=" TargetMode="External"/><Relationship Id="rId511" Type="http://schemas.openxmlformats.org/officeDocument/2006/relationships/hyperlink" Target="http://soar.com" TargetMode="External"/><Relationship Id="rId632" Type="http://schemas.openxmlformats.org/officeDocument/2006/relationships/hyperlink" Target="https://app.honeycombcredit.com/en/projects/11395-Stone-s-Throw-Hash" TargetMode="External"/><Relationship Id="rId518" Type="http://schemas.openxmlformats.org/officeDocument/2006/relationships/hyperlink" Target="https://wefunder.com/everydae" TargetMode="External"/><Relationship Id="rId639" Type="http://schemas.openxmlformats.org/officeDocument/2006/relationships/hyperlink" Target="https://www.sec.gov/Archives/edgar/data/1807941/000180794120000001/xslC_X01/primary_doc.xml" TargetMode="External"/><Relationship Id="rId517" Type="http://schemas.openxmlformats.org/officeDocument/2006/relationships/hyperlink" Target="https://www.sec.gov/Archives/edgar/data/1767003/000167025420000041/xslC_X01/primary_doc.xml" TargetMode="External"/><Relationship Id="rId638" Type="http://schemas.openxmlformats.org/officeDocument/2006/relationships/hyperlink" Target="https://app.honeycombcredit.com/en/projects/11378-Global-Wordsmiths" TargetMode="External"/><Relationship Id="rId516" Type="http://schemas.openxmlformats.org/officeDocument/2006/relationships/hyperlink" Target="https://wefunder.com/delsure.health.insurance" TargetMode="External"/><Relationship Id="rId637" Type="http://schemas.openxmlformats.org/officeDocument/2006/relationships/hyperlink" Target="https://www.sec.gov/Archives/edgar/data/1807932/000174605920000095/xslC_X01/primary_doc.xml" TargetMode="External"/><Relationship Id="rId515" Type="http://schemas.openxmlformats.org/officeDocument/2006/relationships/hyperlink" Target="https://www.sec.gov/Archives/edgar/data/1478985/000166516020000172/xslC_X01/primary_doc.xml" TargetMode="External"/><Relationship Id="rId636" Type="http://schemas.openxmlformats.org/officeDocument/2006/relationships/hyperlink" Target="https://mainvest.com/businesses/goddard-medical-services/overview" TargetMode="External"/><Relationship Id="rId15" Type="http://schemas.openxmlformats.org/officeDocument/2006/relationships/hyperlink" Target="https://www.sec.gov/Archives/edgar/data/1782663/000166919119000236/xslC_X01/primary_doc.xml" TargetMode="External"/><Relationship Id="rId14" Type="http://schemas.openxmlformats.org/officeDocument/2006/relationships/hyperlink" Target="https://netcapital.com/companies/thb" TargetMode="External"/><Relationship Id="rId17" Type="http://schemas.openxmlformats.org/officeDocument/2006/relationships/hyperlink" Target="https://www.startengine.com/thalia" TargetMode="External"/><Relationship Id="rId16" Type="http://schemas.openxmlformats.org/officeDocument/2006/relationships/hyperlink" Target="https://www.startengine.com/thalia" TargetMode="External"/><Relationship Id="rId19" Type="http://schemas.openxmlformats.org/officeDocument/2006/relationships/hyperlink" Target="https://www.sec.gov/Archives/edgar/data/1781955/000166919119000259/xslC_X01/primary_doc.xml" TargetMode="External"/><Relationship Id="rId510" Type="http://schemas.openxmlformats.org/officeDocument/2006/relationships/hyperlink" Target="https://www.sec.gov/Archives/edgar/data/1800456/000167025420000050/xslC_X01/primary_doc.xml" TargetMode="External"/><Relationship Id="rId631" Type="http://schemas.openxmlformats.org/officeDocument/2006/relationships/hyperlink" Target="https://www.sec.gov/Archives/edgar/data/1765325/000174605920000104/xslC_X01/primary_doc.xml" TargetMode="External"/><Relationship Id="rId18" Type="http://schemas.openxmlformats.org/officeDocument/2006/relationships/hyperlink" Target="https://netcapital.com/companies/dome-audio" TargetMode="External"/><Relationship Id="rId630" Type="http://schemas.openxmlformats.org/officeDocument/2006/relationships/hyperlink" Target="https://mainvest.com/b/twisted-escape-room-salem" TargetMode="External"/><Relationship Id="rId84" Type="http://schemas.openxmlformats.org/officeDocument/2006/relationships/hyperlink" Target="https://www.sec.gov/Archives/edgar/data/1785164/000178516419000001/xslC_X01/primary_doc.xml" TargetMode="External"/><Relationship Id="rId83" Type="http://schemas.openxmlformats.org/officeDocument/2006/relationships/hyperlink" Target="https://fundanna.com/equity/offer-summary/GreenGrowth" TargetMode="External"/><Relationship Id="rId86" Type="http://schemas.openxmlformats.org/officeDocument/2006/relationships/hyperlink" Target="https://www.sec.gov/Archives/edgar/data/1728036/000166828718000027/xslC_X01/primary_doc.xml" TargetMode="External"/><Relationship Id="rId85" Type="http://schemas.openxmlformats.org/officeDocument/2006/relationships/hyperlink" Target="https://www.razitall.com/pitch/every-dog-s-neck-deserves-hemp-gear-from-earthdog" TargetMode="External"/><Relationship Id="rId88" Type="http://schemas.openxmlformats.org/officeDocument/2006/relationships/hyperlink" Target="https://www.sec.gov/cgi-bin/browse-edgar?company=english+for+a+song&amp;owner=exclude&amp;action=getcompany" TargetMode="External"/><Relationship Id="rId87" Type="http://schemas.openxmlformats.org/officeDocument/2006/relationships/hyperlink" Target="https://www.razitall.com/pitch/transforming-adult-literacy-through-pop-music" TargetMode="External"/><Relationship Id="rId89" Type="http://schemas.openxmlformats.org/officeDocument/2006/relationships/hyperlink" Target="https://www.razitall.com/pitch/the-new-ice-age-borealis-rare-iceberg-beer" TargetMode="External"/><Relationship Id="rId80" Type="http://schemas.openxmlformats.org/officeDocument/2006/relationships/hyperlink" Target="https://www.sec.gov/Archives/edgar/data/1689304/000167025419000488/xslC_X01/primary_doc.xml" TargetMode="External"/><Relationship Id="rId82" Type="http://schemas.openxmlformats.org/officeDocument/2006/relationships/hyperlink" Target="https://www.sec.gov/Archives/edgar/data/1745527/000166828719000053/xslC_X01/primary_doc.xml" TargetMode="External"/><Relationship Id="rId81" Type="http://schemas.openxmlformats.org/officeDocument/2006/relationships/hyperlink" Target="https://www.razitall.com/pitch/revolving-tread-omnidirectional-treadmill-for-vr" TargetMode="External"/><Relationship Id="rId73" Type="http://schemas.openxmlformats.org/officeDocument/2006/relationships/hyperlink" Target="https://netcapital.com/companies/neurotez" TargetMode="External"/><Relationship Id="rId72" Type="http://schemas.openxmlformats.org/officeDocument/2006/relationships/hyperlink" Target="https://www.sec.gov/cgi-bin/browse-edgar?CIK=0001774152&amp;action=getcompany" TargetMode="External"/><Relationship Id="rId75" Type="http://schemas.openxmlformats.org/officeDocument/2006/relationships/hyperlink" Target="https://www.mrcrowd.com/company/VEND" TargetMode="External"/><Relationship Id="rId74" Type="http://schemas.openxmlformats.org/officeDocument/2006/relationships/hyperlink" Target="https://www.sec.gov/Archives/edgar/data/1725567/000166919119000295/xslC_X01/primary_doc.xml" TargetMode="External"/><Relationship Id="rId77" Type="http://schemas.openxmlformats.org/officeDocument/2006/relationships/hyperlink" Target="https://wefunder.com/aptera" TargetMode="External"/><Relationship Id="rId76" Type="http://schemas.openxmlformats.org/officeDocument/2006/relationships/hyperlink" Target="https://www.sec.gov/Archives/edgar/data/1785391/000178539119000001/xslC_X01/primary_doc.xml" TargetMode="External"/><Relationship Id="rId79" Type="http://schemas.openxmlformats.org/officeDocument/2006/relationships/hyperlink" Target="https://wefunder.com/scrap.connection.inc" TargetMode="External"/><Relationship Id="rId78" Type="http://schemas.openxmlformats.org/officeDocument/2006/relationships/hyperlink" Target="https://www.sec.gov/Archives/edgar/data/1786471/000167025419000484/xslC_X01/primary_doc.xml" TargetMode="External"/><Relationship Id="rId71" Type="http://schemas.openxmlformats.org/officeDocument/2006/relationships/hyperlink" Target="https://republic.co/dorahacks" TargetMode="External"/><Relationship Id="rId70" Type="http://schemas.openxmlformats.org/officeDocument/2006/relationships/hyperlink" Target="https://www.sec.gov/Archives/edgar/data/1759081/000166516020000288/xslC_X01/primary_doc.xml" TargetMode="External"/><Relationship Id="rId62" Type="http://schemas.openxmlformats.org/officeDocument/2006/relationships/hyperlink" Target="https://www.sec.gov/Archives/edgar/data/1786855/000166919120000144/xslC_X01/primary_doc.xml" TargetMode="External"/><Relationship Id="rId61" Type="http://schemas.openxmlformats.org/officeDocument/2006/relationships/hyperlink" Target="https://netcapital.com/companies/college-coaching-network" TargetMode="External"/><Relationship Id="rId64" Type="http://schemas.openxmlformats.org/officeDocument/2006/relationships/hyperlink" Target="https://www.sec.gov/Archives/edgar/data/1807984/000180798420000003/xslC_X01/primary_doc.xml" TargetMode="External"/><Relationship Id="rId63" Type="http://schemas.openxmlformats.org/officeDocument/2006/relationships/hyperlink" Target="https://republic.co/all_ebt" TargetMode="External"/><Relationship Id="rId66" Type="http://schemas.openxmlformats.org/officeDocument/2006/relationships/hyperlink" Target="https://www.sec.gov/Archives/edgar/data/1807742/000180774220000002/xslC_X01/primary_doc.xml" TargetMode="External"/><Relationship Id="rId65" Type="http://schemas.openxmlformats.org/officeDocument/2006/relationships/hyperlink" Target="https://republic.co/cricclubs" TargetMode="External"/><Relationship Id="rId68" Type="http://schemas.openxmlformats.org/officeDocument/2006/relationships/hyperlink" Target="https://www.sec.gov/Archives/edgar/data/1804169/000167025420000181/xslC_X01/primary_doc.xml" TargetMode="External"/><Relationship Id="rId67" Type="http://schemas.openxmlformats.org/officeDocument/2006/relationships/hyperlink" Target="https://wefunder.com/indy.brand" TargetMode="External"/><Relationship Id="rId609" Type="http://schemas.openxmlformats.org/officeDocument/2006/relationships/hyperlink" Target="https://www.sec.gov/Archives/edgar/data/1800155/000180015520000001/xslC_X01/primary_doc.xml" TargetMode="External"/><Relationship Id="rId608" Type="http://schemas.openxmlformats.org/officeDocument/2006/relationships/hyperlink" Target="https://app.honeycombcredit.com/en/projects/11226-Sits-N-Wiggles-Dog-Daycare-N-Training--LLC" TargetMode="External"/><Relationship Id="rId607" Type="http://schemas.openxmlformats.org/officeDocument/2006/relationships/hyperlink" Target="https://www.sec.gov/Archives/edgar/data/1793868/000179386820000002/xslC_X01/primary_doc.xml" TargetMode="External"/><Relationship Id="rId60" Type="http://schemas.openxmlformats.org/officeDocument/2006/relationships/hyperlink" Target="https://www.sec.gov/Archives/edgar/data/1738026/000173802620000002/xslC_X01/primary_doc.xml" TargetMode="External"/><Relationship Id="rId602" Type="http://schemas.openxmlformats.org/officeDocument/2006/relationships/hyperlink" Target="https://wefunder.com/i.am.like.you.film.llc" TargetMode="External"/><Relationship Id="rId601" Type="http://schemas.openxmlformats.org/officeDocument/2006/relationships/hyperlink" Target="https://www.sec.gov/Archives/edgar/data/1794407/000174605920000066/xslC_X01/primary_doc.xml" TargetMode="External"/><Relationship Id="rId600" Type="http://schemas.openxmlformats.org/officeDocument/2006/relationships/hyperlink" Target="https://mainvest.com/businesses/mizen-funeral-home" TargetMode="External"/><Relationship Id="rId606" Type="http://schemas.openxmlformats.org/officeDocument/2006/relationships/hyperlink" Target="https://app.honeycombcredit.com/en/projects/11145-Porky-s-Bar--amp--Grill" TargetMode="External"/><Relationship Id="rId605" Type="http://schemas.openxmlformats.org/officeDocument/2006/relationships/hyperlink" Target="https://www.sec.gov/Archives/edgar/data/1783625/000174605920000033/xslC_X01/primary_doc.xml" TargetMode="External"/><Relationship Id="rId604" Type="http://schemas.openxmlformats.org/officeDocument/2006/relationships/hyperlink" Target="https://mainvest.com/businesses/kintaproom" TargetMode="External"/><Relationship Id="rId603" Type="http://schemas.openxmlformats.org/officeDocument/2006/relationships/hyperlink" Target="https://www.sec.gov/Archives/edgar/data/1788198/000167025419000612/xslC_X01/primary_doc.xml" TargetMode="External"/><Relationship Id="rId69" Type="http://schemas.openxmlformats.org/officeDocument/2006/relationships/hyperlink" Target="https://www.startengine.com/popcom" TargetMode="External"/><Relationship Id="rId51" Type="http://schemas.openxmlformats.org/officeDocument/2006/relationships/hyperlink" Target="https://wefunder.com/kazoo" TargetMode="External"/><Relationship Id="rId50" Type="http://schemas.openxmlformats.org/officeDocument/2006/relationships/hyperlink" Target="https://www.sec.gov/Archives/edgar/data/1789874/000167025420000184/xslC_X01/primary_doc.xml" TargetMode="External"/><Relationship Id="rId53" Type="http://schemas.openxmlformats.org/officeDocument/2006/relationships/hyperlink" Target="https://wefunder.com/next.door.photos" TargetMode="External"/><Relationship Id="rId52" Type="http://schemas.openxmlformats.org/officeDocument/2006/relationships/hyperlink" Target="https://www.sec.gov/Archives/edgar/data/1776458/000167025420000119/xslC_X01/primary_doc.xml" TargetMode="External"/><Relationship Id="rId55" Type="http://schemas.openxmlformats.org/officeDocument/2006/relationships/hyperlink" Target="https://www.startengine.com/clear-genius" TargetMode="External"/><Relationship Id="rId54" Type="http://schemas.openxmlformats.org/officeDocument/2006/relationships/hyperlink" Target="https://www.sec.gov/Archives/edgar/data/1804160/000167025420000193/xslC_X01/primary_doc.xml" TargetMode="External"/><Relationship Id="rId57" Type="http://schemas.openxmlformats.org/officeDocument/2006/relationships/hyperlink" Target="https://netcapital.com/companies/infinovate" TargetMode="External"/><Relationship Id="rId56" Type="http://schemas.openxmlformats.org/officeDocument/2006/relationships/hyperlink" Target="https://www.sec.gov/Archives/edgar/data/1804004/000166516020000276/xslC_X01/primary_doc.xml" TargetMode="External"/><Relationship Id="rId59" Type="http://schemas.openxmlformats.org/officeDocument/2006/relationships/hyperlink" Target="https://republic.co/reflex-protect" TargetMode="External"/><Relationship Id="rId58" Type="http://schemas.openxmlformats.org/officeDocument/2006/relationships/hyperlink" Target="https://www.sec.gov/Archives/edgar/data/1808015/000166919120000164/xslC_X01/primary_doc.xml" TargetMode="External"/><Relationship Id="rId590" Type="http://schemas.openxmlformats.org/officeDocument/2006/relationships/hyperlink" Target="https://mainvest.com/businesses/bullfinch-brewpub" TargetMode="External"/><Relationship Id="rId107" Type="http://schemas.openxmlformats.org/officeDocument/2006/relationships/hyperlink" Target="https://wefunder.com/promsocial" TargetMode="External"/><Relationship Id="rId228" Type="http://schemas.openxmlformats.org/officeDocument/2006/relationships/hyperlink" Target="https://wefunder.com/oodles" TargetMode="External"/><Relationship Id="rId349" Type="http://schemas.openxmlformats.org/officeDocument/2006/relationships/hyperlink" Target="https://www.sec.gov/Archives/edgar/data/1792013/000179201319000001/xslC_X01/primary_doc.xml" TargetMode="External"/><Relationship Id="rId106" Type="http://schemas.openxmlformats.org/officeDocument/2006/relationships/hyperlink" Target="https://www.sec.gov/Archives/edgar/data/1785479/000167025419000452/xslC_X01/primary_doc.xml" TargetMode="External"/><Relationship Id="rId227" Type="http://schemas.openxmlformats.org/officeDocument/2006/relationships/hyperlink" Target="https://www.sec.gov/Archives/edgar/data/1796364/000167025419000730/xslC_X01/primary_doc.xml" TargetMode="External"/><Relationship Id="rId348" Type="http://schemas.openxmlformats.org/officeDocument/2006/relationships/hyperlink" Target="https://localstake.com/businesses/batteryxchange/preview" TargetMode="External"/><Relationship Id="rId469" Type="http://schemas.openxmlformats.org/officeDocument/2006/relationships/hyperlink" Target="https://www.sec.gov/Archives/edgar/data/1792640/000179264020000003/xslC_X01/primary_doc.xml" TargetMode="External"/><Relationship Id="rId105" Type="http://schemas.openxmlformats.org/officeDocument/2006/relationships/hyperlink" Target="https://wefunder.com/colossal.inc" TargetMode="External"/><Relationship Id="rId226" Type="http://schemas.openxmlformats.org/officeDocument/2006/relationships/hyperlink" Target="https://wefunder.com/novomoto" TargetMode="External"/><Relationship Id="rId347" Type="http://schemas.openxmlformats.org/officeDocument/2006/relationships/hyperlink" Target="https://www.sec.gov/Archives/edgar/data/1791992/000166516020000151/xslC_X01/primary_doc.xml" TargetMode="External"/><Relationship Id="rId468" Type="http://schemas.openxmlformats.org/officeDocument/2006/relationships/hyperlink" Target="https://fundanna.com/equity/offer-summary/FlowerBee" TargetMode="External"/><Relationship Id="rId589" Type="http://schemas.openxmlformats.org/officeDocument/2006/relationships/hyperlink" Target="https://www.sec.gov/Archives/edgar/data/1803385/000174605920000064/xslC_X01/primary_doc.xml" TargetMode="External"/><Relationship Id="rId104" Type="http://schemas.openxmlformats.org/officeDocument/2006/relationships/hyperlink" Target="https://www.sec.gov/Archives/edgar/data/1785480/000167025419000464/xslC_X01/primary_doc.xml" TargetMode="External"/><Relationship Id="rId225" Type="http://schemas.openxmlformats.org/officeDocument/2006/relationships/hyperlink" Target="https://www.sec.gov/Archives/edgar/data/1772701/000166828719000011/xslC_X01/primary_doc.xml" TargetMode="External"/><Relationship Id="rId346" Type="http://schemas.openxmlformats.org/officeDocument/2006/relationships/hyperlink" Target="https://www.startengine.com/metaiyeknights" TargetMode="External"/><Relationship Id="rId467" Type="http://schemas.openxmlformats.org/officeDocument/2006/relationships/hyperlink" Target="https://www.sec.gov/Archives/edgar/data/1763323/000166828720000003/xslC_X01/primary_doc.xml" TargetMode="External"/><Relationship Id="rId588" Type="http://schemas.openxmlformats.org/officeDocument/2006/relationships/hyperlink" Target="https://mainvest.com/businesses/queens-gambit" TargetMode="External"/><Relationship Id="rId109" Type="http://schemas.openxmlformats.org/officeDocument/2006/relationships/hyperlink" Target="https://www.razitall.com/pitch/patented-see-me-live-video-platform-prelaunch" TargetMode="External"/><Relationship Id="rId108" Type="http://schemas.openxmlformats.org/officeDocument/2006/relationships/hyperlink" Target="https://www.sec.gov/Archives/edgar/data/1787347/000167025419000498/xslC_X01/primary_doc.xml" TargetMode="External"/><Relationship Id="rId229" Type="http://schemas.openxmlformats.org/officeDocument/2006/relationships/hyperlink" Target="https://www.sec.gov/Archives/edgar/data/1707572/000167025419000728/xslC_X01/primary_doc.xml" TargetMode="External"/><Relationship Id="rId220" Type="http://schemas.openxmlformats.org/officeDocument/2006/relationships/hyperlink" Target="https://wefunder.com/como.audio" TargetMode="External"/><Relationship Id="rId341" Type="http://schemas.openxmlformats.org/officeDocument/2006/relationships/hyperlink" Target="https://www.sec.gov/Archives/edgar/data/1789864/000166610219000026/xslC_X01/primary_doc.xml" TargetMode="External"/><Relationship Id="rId462" Type="http://schemas.openxmlformats.org/officeDocument/2006/relationships/hyperlink" Target="https://wefunder.com/amplified.ale.works" TargetMode="External"/><Relationship Id="rId583" Type="http://schemas.openxmlformats.org/officeDocument/2006/relationships/hyperlink" Target="https://www.sec.gov/Archives/edgar/data/1804876/000174605920000058/xslC_X01/primary_doc.xml" TargetMode="External"/><Relationship Id="rId340" Type="http://schemas.openxmlformats.org/officeDocument/2006/relationships/hyperlink" Target="https://www.mrcrowd.com/company/CEO" TargetMode="External"/><Relationship Id="rId461" Type="http://schemas.openxmlformats.org/officeDocument/2006/relationships/hyperlink" Target="https://www.sec.gov/Archives/edgar/data/1736423/000173642320000005/xslC_X01/primary_doc.xml" TargetMode="External"/><Relationship Id="rId582" Type="http://schemas.openxmlformats.org/officeDocument/2006/relationships/hyperlink" Target="https://mainvest.com/b/room-and-boards-cafe-boise" TargetMode="External"/><Relationship Id="rId460" Type="http://schemas.openxmlformats.org/officeDocument/2006/relationships/hyperlink" Target="https://republic.co/acciyo" TargetMode="External"/><Relationship Id="rId581" Type="http://schemas.openxmlformats.org/officeDocument/2006/relationships/hyperlink" Target="https://www.sec.gov/Archives/edgar/data/1804466/000174605920000063/xslC_X01/primary_doc.xml" TargetMode="External"/><Relationship Id="rId580" Type="http://schemas.openxmlformats.org/officeDocument/2006/relationships/hyperlink" Target="https://mainvest.com/b/salem-gnu-kitchen-salem" TargetMode="External"/><Relationship Id="rId103" Type="http://schemas.openxmlformats.org/officeDocument/2006/relationships/hyperlink" Target="https://wefunder.com/tinybchocolate" TargetMode="External"/><Relationship Id="rId224" Type="http://schemas.openxmlformats.org/officeDocument/2006/relationships/hyperlink" Target="https://www.razitall.com/pitch/simpkins-electric-bicycles" TargetMode="External"/><Relationship Id="rId345" Type="http://schemas.openxmlformats.org/officeDocument/2006/relationships/hyperlink" Target="https://www.sec.gov/Archives/edgar/data/1719648/000167025419000591/xslC_X01/primary_doc.xml" TargetMode="External"/><Relationship Id="rId466" Type="http://schemas.openxmlformats.org/officeDocument/2006/relationships/hyperlink" Target="https://www.razitall.com/pitch/sinusave-the-drug-free-nasal-congestion-solution" TargetMode="External"/><Relationship Id="rId587" Type="http://schemas.openxmlformats.org/officeDocument/2006/relationships/hyperlink" Target="https://www.sec.gov/Archives/edgar/data/1796091/000167025419000715/xslC_X01/primary_doc.xml" TargetMode="External"/><Relationship Id="rId102" Type="http://schemas.openxmlformats.org/officeDocument/2006/relationships/hyperlink" Target="https://www.sec.gov/Archives/edgar/data/1783629/000167025419000432/xslC_X01/primary_doc.xml" TargetMode="External"/><Relationship Id="rId223" Type="http://schemas.openxmlformats.org/officeDocument/2006/relationships/hyperlink" Target="https://www.sec.gov/Archives/edgar/data/1771389/000166828719000009/xslC_X01/primary_doc.xml" TargetMode="External"/><Relationship Id="rId344" Type="http://schemas.openxmlformats.org/officeDocument/2006/relationships/hyperlink" Target="https://wefunder.com/freerolls.poker.clubs" TargetMode="External"/><Relationship Id="rId465" Type="http://schemas.openxmlformats.org/officeDocument/2006/relationships/hyperlink" Target="https://www.sec.gov/Archives/edgar/data/1795240/000167025420000021/xslC_X01/primary_doc.xml" TargetMode="External"/><Relationship Id="rId586" Type="http://schemas.openxmlformats.org/officeDocument/2006/relationships/hyperlink" Target="https://wefunder.com/biblesmugglersmovie" TargetMode="External"/><Relationship Id="rId101" Type="http://schemas.openxmlformats.org/officeDocument/2006/relationships/hyperlink" Target="https://wefunder.com/locl" TargetMode="External"/><Relationship Id="rId222" Type="http://schemas.openxmlformats.org/officeDocument/2006/relationships/hyperlink" Target="https://www.razitall.com/pitch/life-after-heart-transplant-a-documentary" TargetMode="External"/><Relationship Id="rId343" Type="http://schemas.openxmlformats.org/officeDocument/2006/relationships/hyperlink" Target="https://www.sec.gov/Archives/edgar/data/1699476/000166516020000044/xslC_X01/primary_doc.xml" TargetMode="External"/><Relationship Id="rId464" Type="http://schemas.openxmlformats.org/officeDocument/2006/relationships/hyperlink" Target="https://wefunder.com/eliteamateurfightleague" TargetMode="External"/><Relationship Id="rId585" Type="http://schemas.openxmlformats.org/officeDocument/2006/relationships/hyperlink" Target="https://www.sec.gov/Archives/edgar/data/1804624/000174605920000061/xslC_X01/primary_doc.xml" TargetMode="External"/><Relationship Id="rId100" Type="http://schemas.openxmlformats.org/officeDocument/2006/relationships/hyperlink" Target="https://www.sec.gov/Archives/edgar/data/1725162/000167025419000492/xslC_X01/primary_doc.xml" TargetMode="External"/><Relationship Id="rId221" Type="http://schemas.openxmlformats.org/officeDocument/2006/relationships/hyperlink" Target="https://www.sec.gov/Archives/edgar/data/1771429/000167025419000123/xslC_X01/primary_doc.xml" TargetMode="External"/><Relationship Id="rId342" Type="http://schemas.openxmlformats.org/officeDocument/2006/relationships/hyperlink" Target="https://www.startengine.com/plantsnap-inc" TargetMode="External"/><Relationship Id="rId463" Type="http://schemas.openxmlformats.org/officeDocument/2006/relationships/hyperlink" Target="https://www.sec.gov/Archives/edgar/data/1794073/000167025420000036/xslC_X01/primary_doc.xml" TargetMode="External"/><Relationship Id="rId584" Type="http://schemas.openxmlformats.org/officeDocument/2006/relationships/hyperlink" Target="https://mainvest.com/b/monkey-wrench-brewing-company-suwanee" TargetMode="External"/><Relationship Id="rId217" Type="http://schemas.openxmlformats.org/officeDocument/2006/relationships/hyperlink" Target="https://www.sec.gov/Archives/edgar/data/1769670/000166516020000188/xslC_X01/primary_doc.xml" TargetMode="External"/><Relationship Id="rId338" Type="http://schemas.openxmlformats.org/officeDocument/2006/relationships/hyperlink" Target="https://us.trucrowd.com/equity/offer-summary/Flowh" TargetMode="External"/><Relationship Id="rId459" Type="http://schemas.openxmlformats.org/officeDocument/2006/relationships/hyperlink" Target="https://www.sec.gov/Archives/edgar/data/1760049/000166610220000004/xslC_X01/primary_doc.xml" TargetMode="External"/><Relationship Id="rId216" Type="http://schemas.openxmlformats.org/officeDocument/2006/relationships/hyperlink" Target="https://www.startengine.com/81-c" TargetMode="External"/><Relationship Id="rId337" Type="http://schemas.openxmlformats.org/officeDocument/2006/relationships/hyperlink" Target="https://www.sec.gov/Archives/edgar/data/1706024/000166516020000030/xslC_X01/primary_doc.xml" TargetMode="External"/><Relationship Id="rId458" Type="http://schemas.openxmlformats.org/officeDocument/2006/relationships/hyperlink" Target="https://www.mrcrowd.com/company/CS" TargetMode="External"/><Relationship Id="rId579" Type="http://schemas.openxmlformats.org/officeDocument/2006/relationships/hyperlink" Target="https://www.sec.gov/Archives/edgar/data/1804411/000174605920000056/xslC_X01/primary_doc.xml" TargetMode="External"/><Relationship Id="rId215" Type="http://schemas.openxmlformats.org/officeDocument/2006/relationships/hyperlink" Target="https://www.sec.gov/Archives/edgar/data/1769308/000166516020000048/xslC_X01/primary_doc.xml" TargetMode="External"/><Relationship Id="rId336" Type="http://schemas.openxmlformats.org/officeDocument/2006/relationships/hyperlink" Target="https://www.startengine.com/gosuninc" TargetMode="External"/><Relationship Id="rId457" Type="http://schemas.openxmlformats.org/officeDocument/2006/relationships/hyperlink" Target="https://www.sec.gov/Archives/edgar/data/1767636/000166610219000034/xslC_X01/primary_doc.xml" TargetMode="External"/><Relationship Id="rId578" Type="http://schemas.openxmlformats.org/officeDocument/2006/relationships/hyperlink" Target="https://mainvest.com/businesses/little-radish" TargetMode="External"/><Relationship Id="rId214" Type="http://schemas.openxmlformats.org/officeDocument/2006/relationships/hyperlink" Target="https://www.startengine.com/waterrr-inc" TargetMode="External"/><Relationship Id="rId335" Type="http://schemas.openxmlformats.org/officeDocument/2006/relationships/hyperlink" Target="https://www.sec.gov/Archives/edgar/data/1785581/000166516020000230/xslC_X01/primary_doc.xml" TargetMode="External"/><Relationship Id="rId456" Type="http://schemas.openxmlformats.org/officeDocument/2006/relationships/hyperlink" Target="https://www.mrcrowd.com/company/SAB" TargetMode="External"/><Relationship Id="rId577" Type="http://schemas.openxmlformats.org/officeDocument/2006/relationships/hyperlink" Target="https://www.sec.gov/Archives/edgar/data/1795322/000179532220000001/xslC_X01/primary_doc.xml" TargetMode="External"/><Relationship Id="rId219" Type="http://schemas.openxmlformats.org/officeDocument/2006/relationships/hyperlink" Target="https://www.sec.gov/Archives/edgar/data/1767862/000166516020000104/xslC_X01/primary_doc.xml" TargetMode="External"/><Relationship Id="rId218" Type="http://schemas.openxmlformats.org/officeDocument/2006/relationships/hyperlink" Target="https://www.startengine.com/trella" TargetMode="External"/><Relationship Id="rId339" Type="http://schemas.openxmlformats.org/officeDocument/2006/relationships/hyperlink" Target="https://www.sec.gov/Archives/edgar/data/1788657/000178865720000001/xslC_X01/primary_doc.xml" TargetMode="External"/><Relationship Id="rId330" Type="http://schemas.openxmlformats.org/officeDocument/2006/relationships/hyperlink" Target="https://www.startengine.com/chow" TargetMode="External"/><Relationship Id="rId451" Type="http://schemas.openxmlformats.org/officeDocument/2006/relationships/hyperlink" Target="https://www.sec.gov/Archives/edgar/data/1788682/000167025419000710/xslC_X01/primary_doc.xml" TargetMode="External"/><Relationship Id="rId572" Type="http://schemas.openxmlformats.org/officeDocument/2006/relationships/hyperlink" Target="https://app.honeycombcredit.com/en/projects/11325-The-Upper-Row" TargetMode="External"/><Relationship Id="rId450" Type="http://schemas.openxmlformats.org/officeDocument/2006/relationships/hyperlink" Target="https://wefunder.com/hoop.tea" TargetMode="External"/><Relationship Id="rId571" Type="http://schemas.openxmlformats.org/officeDocument/2006/relationships/hyperlink" Target="https://www.sec.gov/Archives/edgar/data/1796230/000174605919000091/xslC_X01/primary_doc.xml" TargetMode="External"/><Relationship Id="rId570" Type="http://schemas.openxmlformats.org/officeDocument/2006/relationships/hyperlink" Target="https://mainvest.com/businesses/true-wines" TargetMode="External"/><Relationship Id="rId213" Type="http://schemas.openxmlformats.org/officeDocument/2006/relationships/hyperlink" Target="https://www.sec.gov/Archives/edgar/data/1765252/000176525220000002/xslC_X01/primary_doc.xml" TargetMode="External"/><Relationship Id="rId334" Type="http://schemas.openxmlformats.org/officeDocument/2006/relationships/hyperlink" Target="https://www.startengine.com/clearwaterdistilling" TargetMode="External"/><Relationship Id="rId455" Type="http://schemas.openxmlformats.org/officeDocument/2006/relationships/hyperlink" Target="https://www.sec.gov/Archives/edgar/data/1788203/000167025419000623/xslC_X01/primary_doc.xml" TargetMode="External"/><Relationship Id="rId576" Type="http://schemas.openxmlformats.org/officeDocument/2006/relationships/hyperlink" Target="https://www.nextseed.com/offerings/ronin-harrisburg" TargetMode="External"/><Relationship Id="rId212" Type="http://schemas.openxmlformats.org/officeDocument/2006/relationships/hyperlink" Target="https://fundanna.com/equity/offer-summary/QwikLeaf" TargetMode="External"/><Relationship Id="rId333" Type="http://schemas.openxmlformats.org/officeDocument/2006/relationships/hyperlink" Target="https://www.sec.gov/Archives/edgar/data/1782117/000166516020000196/xslC_X01/primary_doc.xml" TargetMode="External"/><Relationship Id="rId454" Type="http://schemas.openxmlformats.org/officeDocument/2006/relationships/hyperlink" Target="https://wefunder.com/staycool" TargetMode="External"/><Relationship Id="rId575" Type="http://schemas.openxmlformats.org/officeDocument/2006/relationships/hyperlink" Target="https://www.sec.gov/Archives/edgar/data/1804109/000174605920000054/xslC_X01/primary_doc.xml" TargetMode="External"/><Relationship Id="rId211" Type="http://schemas.openxmlformats.org/officeDocument/2006/relationships/hyperlink" Target="https://www.sec.gov/Archives/edgar/data/1762827/000166516020000129/xslC_X01/primary_doc.xml" TargetMode="External"/><Relationship Id="rId332" Type="http://schemas.openxmlformats.org/officeDocument/2006/relationships/hyperlink" Target="https://www.startengine.com/dapper-boi" TargetMode="External"/><Relationship Id="rId453" Type="http://schemas.openxmlformats.org/officeDocument/2006/relationships/hyperlink" Target="https://www.sec.gov/Archives/edgar/data/1796295/000179629520000003/xslC_X01/primary_doc.xml" TargetMode="External"/><Relationship Id="rId574" Type="http://schemas.openxmlformats.org/officeDocument/2006/relationships/hyperlink" Target="https://mainvest.com/businesses/sail-to-trail-wineworks" TargetMode="External"/><Relationship Id="rId210" Type="http://schemas.openxmlformats.org/officeDocument/2006/relationships/hyperlink" Target="https://www.startengine.com/msbai" TargetMode="External"/><Relationship Id="rId331" Type="http://schemas.openxmlformats.org/officeDocument/2006/relationships/hyperlink" Target="https://www.sec.gov/Archives/edgar/data/1784430/000166516020000130/xslC_X01/primary_doc.xml" TargetMode="External"/><Relationship Id="rId452" Type="http://schemas.openxmlformats.org/officeDocument/2006/relationships/hyperlink" Target="https://us.trucrowd.com/equity/offer-summary/NUUREZ" TargetMode="External"/><Relationship Id="rId573" Type="http://schemas.openxmlformats.org/officeDocument/2006/relationships/hyperlink" Target="https://www.sec.gov/Archives/edgar/data/1802485/000180248520000001/xslC_X01/primary_doc.xml" TargetMode="External"/><Relationship Id="rId370" Type="http://schemas.openxmlformats.org/officeDocument/2006/relationships/hyperlink" Target="https://republic.co/provenance" TargetMode="External"/><Relationship Id="rId491" Type="http://schemas.openxmlformats.org/officeDocument/2006/relationships/hyperlink" Target="https://www.sec.gov/Archives/edgar/data/1797607/000167025420000046/xslC_X01/primary_doc.xml" TargetMode="External"/><Relationship Id="rId490" Type="http://schemas.openxmlformats.org/officeDocument/2006/relationships/hyperlink" Target="https://wefunder.com/eatpropergood" TargetMode="External"/><Relationship Id="rId129" Type="http://schemas.openxmlformats.org/officeDocument/2006/relationships/hyperlink" Target="https://www.startengine.com/phormed" TargetMode="External"/><Relationship Id="rId128" Type="http://schemas.openxmlformats.org/officeDocument/2006/relationships/hyperlink" Target="https://www.sec.gov/Archives/edgar/data/1791739/000166516019001160/xslC_X01/primary_doc.xml" TargetMode="External"/><Relationship Id="rId249" Type="http://schemas.openxmlformats.org/officeDocument/2006/relationships/hyperlink" Target="https://www.sec.gov/Archives/edgar/data/1677789/000166516020000134/xslC_X01/primary_doc.xml" TargetMode="External"/><Relationship Id="rId127" Type="http://schemas.openxmlformats.org/officeDocument/2006/relationships/hyperlink" Target="https://www.startengine.com/gradyscoldbrew" TargetMode="External"/><Relationship Id="rId248" Type="http://schemas.openxmlformats.org/officeDocument/2006/relationships/hyperlink" Target="https://www.startengine.com/baqua" TargetMode="External"/><Relationship Id="rId369" Type="http://schemas.openxmlformats.org/officeDocument/2006/relationships/hyperlink" Target="https://www.sec.gov/Archives/edgar/data/1783580/000178358020000002/xslC_X01/primary_doc.xml" TargetMode="External"/><Relationship Id="rId126" Type="http://schemas.openxmlformats.org/officeDocument/2006/relationships/hyperlink" Target="https://www.sec.gov/Archives/edgar/data/1791847/000179184719000001/xslC_X01/primary_doc.xml" TargetMode="External"/><Relationship Id="rId247" Type="http://schemas.openxmlformats.org/officeDocument/2006/relationships/hyperlink" Target="https://www.sec.gov/Archives/edgar/data/1554477/000155447720000002/xslC_X01/primary_doc.xml" TargetMode="External"/><Relationship Id="rId368" Type="http://schemas.openxmlformats.org/officeDocument/2006/relationships/hyperlink" Target="https://republic.co/ember-fund" TargetMode="External"/><Relationship Id="rId489" Type="http://schemas.openxmlformats.org/officeDocument/2006/relationships/hyperlink" Target="https://www.sec.gov/Archives/edgar/data/1800216/000167025420000026/xslC_X01/primary_doc.xml" TargetMode="External"/><Relationship Id="rId121" Type="http://schemas.openxmlformats.org/officeDocument/2006/relationships/hyperlink" Target="https://republic.co/linen" TargetMode="External"/><Relationship Id="rId242" Type="http://schemas.openxmlformats.org/officeDocument/2006/relationships/hyperlink" Target="https://www.startengine.com/elliptigo-2" TargetMode="External"/><Relationship Id="rId363" Type="http://schemas.openxmlformats.org/officeDocument/2006/relationships/hyperlink" Target="https://www.sec.gov/Archives/edgar/data/1791625/000166516020000054/xslC_X01/primary_doc.xml" TargetMode="External"/><Relationship Id="rId484" Type="http://schemas.openxmlformats.org/officeDocument/2006/relationships/hyperlink" Target="https://www.nextseed.com/offerings/edison-golf" TargetMode="External"/><Relationship Id="rId120" Type="http://schemas.openxmlformats.org/officeDocument/2006/relationships/hyperlink" Target="https://www.sec.gov/Archives/edgar/data/1791127/000166516019001157/xslC_X01/primary_doc.xml" TargetMode="External"/><Relationship Id="rId241" Type="http://schemas.openxmlformats.org/officeDocument/2006/relationships/hyperlink" Target="https://disclosurequest.com/form/shockwave-motors-inc./0001669191-20-000006/?returnURL=" TargetMode="External"/><Relationship Id="rId362" Type="http://schemas.openxmlformats.org/officeDocument/2006/relationships/hyperlink" Target="https://www.startengine.com/elevate-nutrition" TargetMode="External"/><Relationship Id="rId483" Type="http://schemas.openxmlformats.org/officeDocument/2006/relationships/hyperlink" Target="https://www.sec.gov/Archives/edgar/data/1737259/000178043920000001/xslC_X01/primary_doc.xml" TargetMode="External"/><Relationship Id="rId240" Type="http://schemas.openxmlformats.org/officeDocument/2006/relationships/hyperlink" Target="https://netcapital.com/companies/shockwave-motors" TargetMode="External"/><Relationship Id="rId361" Type="http://schemas.openxmlformats.org/officeDocument/2006/relationships/hyperlink" Target="https://www.sec.gov/Archives/edgar/data/1720886/000166516020000082/xslC_X01/primary_doc.xml" TargetMode="External"/><Relationship Id="rId482" Type="http://schemas.openxmlformats.org/officeDocument/2006/relationships/hyperlink" Target="https://fundopolis.com/raisedetails?id=9906f30b-dcb2-40ac-8596-68cb26e04b34" TargetMode="External"/><Relationship Id="rId360" Type="http://schemas.openxmlformats.org/officeDocument/2006/relationships/hyperlink" Target="https://www.startengine.com/megalopolis-city-of-collectibles" TargetMode="External"/><Relationship Id="rId481" Type="http://schemas.openxmlformats.org/officeDocument/2006/relationships/hyperlink" Target="https://www.sec.gov/Archives/edgar/data/1798296/000178043920000003/xslC_X01/primary_doc.xml" TargetMode="External"/><Relationship Id="rId125" Type="http://schemas.openxmlformats.org/officeDocument/2006/relationships/hyperlink" Target="https://republic.co/rehabpath" TargetMode="External"/><Relationship Id="rId246" Type="http://schemas.openxmlformats.org/officeDocument/2006/relationships/hyperlink" Target="https://republic.co/thuzio" TargetMode="External"/><Relationship Id="rId367" Type="http://schemas.openxmlformats.org/officeDocument/2006/relationships/hyperlink" Target="https://www.sec.gov/Archives/edgar/data/1790042/000179004220000002/xslC_X01/primary_doc.xml" TargetMode="External"/><Relationship Id="rId488" Type="http://schemas.openxmlformats.org/officeDocument/2006/relationships/hyperlink" Target="https://wefunder.com/mammalz" TargetMode="External"/><Relationship Id="rId124" Type="http://schemas.openxmlformats.org/officeDocument/2006/relationships/hyperlink" Target="https://www.sec.gov/Archives/edgar/data/1730486/000173048619000001/xslC_X01/primary_doc.xml" TargetMode="External"/><Relationship Id="rId245" Type="http://schemas.openxmlformats.org/officeDocument/2006/relationships/hyperlink" Target="https://disclosurequest.com/form/we-are-kula-llc/0001669191-20-000053/?returnURL=" TargetMode="External"/><Relationship Id="rId366" Type="http://schemas.openxmlformats.org/officeDocument/2006/relationships/hyperlink" Target="https://republic.co/the-lieu" TargetMode="External"/><Relationship Id="rId487" Type="http://schemas.openxmlformats.org/officeDocument/2006/relationships/hyperlink" Target="https://www.sec.gov/Archives/edgar/data/1794083/000166516020000065/xslC_X01/primary_doc.xml" TargetMode="External"/><Relationship Id="rId123" Type="http://schemas.openxmlformats.org/officeDocument/2006/relationships/hyperlink" Target="https://app.microventures.com/crowdfunding/thematic" TargetMode="External"/><Relationship Id="rId244" Type="http://schemas.openxmlformats.org/officeDocument/2006/relationships/hyperlink" Target="https://netcapital.com/companies/kula-crate" TargetMode="External"/><Relationship Id="rId365" Type="http://schemas.openxmlformats.org/officeDocument/2006/relationships/hyperlink" Target="https://www.sec.gov/Archives/edgar/data/1792706/000166516020000143/xslC_X01/primary_doc.xml" TargetMode="External"/><Relationship Id="rId486" Type="http://schemas.openxmlformats.org/officeDocument/2006/relationships/hyperlink" Target="https://www.startengine.com/ouipleasebox" TargetMode="External"/><Relationship Id="rId122" Type="http://schemas.openxmlformats.org/officeDocument/2006/relationships/hyperlink" Target="https://www.sec.gov/Archives/edgar/data/1792508/000179250819000001/xslC_X01/primary_doc.xml" TargetMode="External"/><Relationship Id="rId243" Type="http://schemas.openxmlformats.org/officeDocument/2006/relationships/hyperlink" Target="https://www.sec.gov/Archives/edgar/data/1478263/000166516020000028/xslC_X01/primary_doc.xml" TargetMode="External"/><Relationship Id="rId364" Type="http://schemas.openxmlformats.org/officeDocument/2006/relationships/hyperlink" Target="https://www.startengine.com/smart-soda" TargetMode="External"/><Relationship Id="rId485" Type="http://schemas.openxmlformats.org/officeDocument/2006/relationships/hyperlink" Target="https://www.sec.gov/Archives/edgar/data/1796532/000179653220000002/xslC_X01/primary_doc.xml" TargetMode="External"/><Relationship Id="rId95" Type="http://schemas.openxmlformats.org/officeDocument/2006/relationships/hyperlink" Target="https://www.razitall.com/pitch/reclaiming-historical-sites-as-local-art-galleries" TargetMode="External"/><Relationship Id="rId94" Type="http://schemas.openxmlformats.org/officeDocument/2006/relationships/hyperlink" Target="https://www.sec.gov/Archives/edgar/data/1786413/000166828719000041/xslC_X01/primary_doc.xml" TargetMode="External"/><Relationship Id="rId97" Type="http://schemas.openxmlformats.org/officeDocument/2006/relationships/hyperlink" Target="https://wefunder.com/lebreadxpress" TargetMode="External"/><Relationship Id="rId96" Type="http://schemas.openxmlformats.org/officeDocument/2006/relationships/hyperlink" Target="https://www.sec.gov/Archives/edgar/data/1739088/000166828718000031/xslC_X01/primary_doc.xml" TargetMode="External"/><Relationship Id="rId99" Type="http://schemas.openxmlformats.org/officeDocument/2006/relationships/hyperlink" Target="https://wefunder.com/westrive" TargetMode="External"/><Relationship Id="rId480" Type="http://schemas.openxmlformats.org/officeDocument/2006/relationships/hyperlink" Target="https://fundopolis.com/raisedetails?id=cbd77d5a-d358-47c1-ba0a-d9165d6cd793" TargetMode="External"/><Relationship Id="rId98" Type="http://schemas.openxmlformats.org/officeDocument/2006/relationships/hyperlink" Target="https://www.sec.gov/Archives/edgar/data/1685241/000167025419000443/xslC_X01/primary_doc.xml" TargetMode="External"/><Relationship Id="rId91" Type="http://schemas.openxmlformats.org/officeDocument/2006/relationships/hyperlink" Target="https://republic.co/soar-robotics" TargetMode="External"/><Relationship Id="rId90" Type="http://schemas.openxmlformats.org/officeDocument/2006/relationships/hyperlink" Target="https://www.sec.gov/Archives/edgar/data/1738707/000166828718000034/xslC_X01/primary_doc.xml" TargetMode="External"/><Relationship Id="rId93" Type="http://schemas.openxmlformats.org/officeDocument/2006/relationships/hyperlink" Target="https://www.razitall.com/pitch/hangovers-suck-creating-better-tomorrows-for-all" TargetMode="External"/><Relationship Id="rId92" Type="http://schemas.openxmlformats.org/officeDocument/2006/relationships/hyperlink" Target="https://www.sec.gov/Archives/edgar/data/1783015/000178301519000001/xslC_X01/primary_doc.xml" TargetMode="External"/><Relationship Id="rId118" Type="http://schemas.openxmlformats.org/officeDocument/2006/relationships/hyperlink" Target="https://www.sec.gov/Archives/edgar/data/1791397/000167025419000652/xslC_X01/primary_doc.xml" TargetMode="External"/><Relationship Id="rId239" Type="http://schemas.openxmlformats.org/officeDocument/2006/relationships/hyperlink" Target="https://www.sec.gov/Archives/edgar/data/1791548/000179154820000001/xslC_X01/primary_doc.xml" TargetMode="External"/><Relationship Id="rId117" Type="http://schemas.openxmlformats.org/officeDocument/2006/relationships/hyperlink" Target="https://wefunder.com/ammosquared" TargetMode="External"/><Relationship Id="rId238" Type="http://schemas.openxmlformats.org/officeDocument/2006/relationships/hyperlink" Target="https://republic.co/natural-selection" TargetMode="External"/><Relationship Id="rId359" Type="http://schemas.openxmlformats.org/officeDocument/2006/relationships/hyperlink" Target="https://www.sec.gov/Archives/edgar/data/1744851/000166516020000047/xslC_X01/primary_doc.xml" TargetMode="External"/><Relationship Id="rId116" Type="http://schemas.openxmlformats.org/officeDocument/2006/relationships/hyperlink" Target="https://www.sec.gov/Archives/edgar/data/1687316/000147793220001300/xsl1-A_X01/primary_doc.xml" TargetMode="External"/><Relationship Id="rId237" Type="http://schemas.openxmlformats.org/officeDocument/2006/relationships/hyperlink" Target="https://www.sec.gov/Archives/edgar/data/1716822/000171682220000004/xslC_X01/primary_doc.xml" TargetMode="External"/><Relationship Id="rId358" Type="http://schemas.openxmlformats.org/officeDocument/2006/relationships/hyperlink" Target="https://www.startengine.com/rhino-hide-inc" TargetMode="External"/><Relationship Id="rId479" Type="http://schemas.openxmlformats.org/officeDocument/2006/relationships/hyperlink" Target="https://www.sec.gov/Archives/edgar/data/1707359/000167025420000048/xslC_X01/primary_doc.xml" TargetMode="External"/><Relationship Id="rId115" Type="http://schemas.openxmlformats.org/officeDocument/2006/relationships/hyperlink" Target="https://wefunder.com/worldtree" TargetMode="External"/><Relationship Id="rId236" Type="http://schemas.openxmlformats.org/officeDocument/2006/relationships/hyperlink" Target="https://republic.co/70-million-jobs" TargetMode="External"/><Relationship Id="rId357" Type="http://schemas.openxmlformats.org/officeDocument/2006/relationships/hyperlink" Target="https://www.sec.gov/Archives/edgar/data/1689361/000166516020000204/xslC_X01/primary_doc.xml" TargetMode="External"/><Relationship Id="rId478" Type="http://schemas.openxmlformats.org/officeDocument/2006/relationships/hyperlink" Target="https://wefunder.com/neurohacker" TargetMode="External"/><Relationship Id="rId599" Type="http://schemas.openxmlformats.org/officeDocument/2006/relationships/hyperlink" Target="https://www.sec.gov/Archives/edgar/data/1794037/000178043919000009/xslC_X01/primary_doc.xml" TargetMode="External"/><Relationship Id="rId119" Type="http://schemas.openxmlformats.org/officeDocument/2006/relationships/hyperlink" Target="https://www.startengine.com/eight-bridges-brewing-inc" TargetMode="External"/><Relationship Id="rId110" Type="http://schemas.openxmlformats.org/officeDocument/2006/relationships/hyperlink" Target="https://www.sec.gov/Archives/edgar/data/1761058/000166828719000073/xslC_X01/primary_doc.xml" TargetMode="External"/><Relationship Id="rId231" Type="http://schemas.openxmlformats.org/officeDocument/2006/relationships/hyperlink" Target="https://www.sec.gov/Archives/edgar/data/1783627/000167025419000534/xslC_X01/primary_doc.xml" TargetMode="External"/><Relationship Id="rId352" Type="http://schemas.openxmlformats.org/officeDocument/2006/relationships/hyperlink" Target="https://www.startengine.com/atmos-home" TargetMode="External"/><Relationship Id="rId473" Type="http://schemas.openxmlformats.org/officeDocument/2006/relationships/hyperlink" Target="https://www.sec.gov/Archives/edgar/data/1785115/000178511520000001/xslC_X01/primary_doc.xml" TargetMode="External"/><Relationship Id="rId594" Type="http://schemas.openxmlformats.org/officeDocument/2006/relationships/hyperlink" Target="https://mainvest.com/businesses/avalon-lounge-and-game-cafe" TargetMode="External"/><Relationship Id="rId230" Type="http://schemas.openxmlformats.org/officeDocument/2006/relationships/hyperlink" Target="https://wefunder.com/narrative.food" TargetMode="External"/><Relationship Id="rId351" Type="http://schemas.openxmlformats.org/officeDocument/2006/relationships/hyperlink" Target="https://www.sec.gov/Archives/edgar/data/1791721/000166516020000052/xslC_X01/primary_doc.xml" TargetMode="External"/><Relationship Id="rId472" Type="http://schemas.openxmlformats.org/officeDocument/2006/relationships/hyperlink" Target="https://republic.co/a-boring-life" TargetMode="External"/><Relationship Id="rId593" Type="http://schemas.openxmlformats.org/officeDocument/2006/relationships/hyperlink" Target="https://www.sec.gov/Archives/edgar/data/1790424/000179042420000003/xslC_X01/primary_doc.xml" TargetMode="External"/><Relationship Id="rId350" Type="http://schemas.openxmlformats.org/officeDocument/2006/relationships/hyperlink" Target="https://www.startengine.com/life-scan" TargetMode="External"/><Relationship Id="rId471" Type="http://schemas.openxmlformats.org/officeDocument/2006/relationships/hyperlink" Target="https://www.sec.gov/Archives/edgar/data/1700943/000170094320000001/xslC_X01/primary_doc.xml" TargetMode="External"/><Relationship Id="rId592" Type="http://schemas.openxmlformats.org/officeDocument/2006/relationships/hyperlink" Target="https://fundanna.com/equity/offer-summary/GreenzonePharms" TargetMode="External"/><Relationship Id="rId470" Type="http://schemas.openxmlformats.org/officeDocument/2006/relationships/hyperlink" Target="https://republic.co/plei" TargetMode="External"/><Relationship Id="rId591" Type="http://schemas.openxmlformats.org/officeDocument/2006/relationships/hyperlink" Target="https://www.sec.gov/Archives/edgar/data/1803205/000174605920000041/xslC_X01/primary_doc.xml" TargetMode="External"/><Relationship Id="rId114" Type="http://schemas.openxmlformats.org/officeDocument/2006/relationships/hyperlink" Target="https://www.sec.gov/Archives/edgar/data/1724320/000172432019000002/xslC_X01/primary_doc.xml" TargetMode="External"/><Relationship Id="rId235" Type="http://schemas.openxmlformats.org/officeDocument/2006/relationships/hyperlink" Target="https://www.sec.gov/Archives/edgar/data/1797421/000166516020000023/xslC_X01/primary_doc.xml" TargetMode="External"/><Relationship Id="rId356" Type="http://schemas.openxmlformats.org/officeDocument/2006/relationships/hyperlink" Target="https://www.startengine.com/currency-tracking-technologies-llc" TargetMode="External"/><Relationship Id="rId477" Type="http://schemas.openxmlformats.org/officeDocument/2006/relationships/hyperlink" Target="https://www.sec.gov/Archives/edgar/data/1786858/000166516020000211/xslC_X01/primary_doc.xml" TargetMode="External"/><Relationship Id="rId598" Type="http://schemas.openxmlformats.org/officeDocument/2006/relationships/hyperlink" Target="https://fundopolis.com/raisedetails?id=bacaeab7-f47b-473b-82fb-f6dfc908b44c" TargetMode="External"/><Relationship Id="rId113" Type="http://schemas.openxmlformats.org/officeDocument/2006/relationships/hyperlink" Target="https://republic.co/buff-bake" TargetMode="External"/><Relationship Id="rId234" Type="http://schemas.openxmlformats.org/officeDocument/2006/relationships/hyperlink" Target="https://www.startengine.com/nira-skin" TargetMode="External"/><Relationship Id="rId355" Type="http://schemas.openxmlformats.org/officeDocument/2006/relationships/hyperlink" Target="https://www.sec.gov/Archives/edgar/data/1786874/000166516020000063/xslC_X01/primary_doc.xml" TargetMode="External"/><Relationship Id="rId476" Type="http://schemas.openxmlformats.org/officeDocument/2006/relationships/hyperlink" Target="https://www.startengine.com/the-fantasy-network" TargetMode="External"/><Relationship Id="rId597" Type="http://schemas.openxmlformats.org/officeDocument/2006/relationships/hyperlink" Target="https://www.sec.gov/Archives/edgar/data/1788674/000167025420000069/xslC_X01/primary_doc.xml" TargetMode="External"/><Relationship Id="rId112" Type="http://schemas.openxmlformats.org/officeDocument/2006/relationships/hyperlink" Target="https://www.sec.gov/Archives/edgar/data/1722137/000172213719000002/xslC_X01/primary_doc.xml" TargetMode="External"/><Relationship Id="rId233" Type="http://schemas.openxmlformats.org/officeDocument/2006/relationships/hyperlink" Target="https://www.sec.gov/Archives/edgar/data/1763898/000166828719000006/xslC_X01/primary_doc.xml" TargetMode="External"/><Relationship Id="rId354" Type="http://schemas.openxmlformats.org/officeDocument/2006/relationships/hyperlink" Target="https://www.startengine.com/called-higher-studios" TargetMode="External"/><Relationship Id="rId475" Type="http://schemas.openxmlformats.org/officeDocument/2006/relationships/hyperlink" Target="https://www.sec.gov/Archives/edgar/data/1795289/000179528920000003/xslC_X01/primary_doc.xml" TargetMode="External"/><Relationship Id="rId596" Type="http://schemas.openxmlformats.org/officeDocument/2006/relationships/hyperlink" Target="https://wefunder.com/skeptic.distillery" TargetMode="External"/><Relationship Id="rId111" Type="http://schemas.openxmlformats.org/officeDocument/2006/relationships/hyperlink" Target="https://republic.co/upshift" TargetMode="External"/><Relationship Id="rId232" Type="http://schemas.openxmlformats.org/officeDocument/2006/relationships/hyperlink" Target="https://www.razitall.com/pitch/an-online-ed-tech-industry-app-through-a-call" TargetMode="External"/><Relationship Id="rId353" Type="http://schemas.openxmlformats.org/officeDocument/2006/relationships/hyperlink" Target="https://www.sec.gov/Archives/edgar/data/1716903/000166516020000055/xslC_X01/primary_doc.xml" TargetMode="External"/><Relationship Id="rId474" Type="http://schemas.openxmlformats.org/officeDocument/2006/relationships/hyperlink" Target="https://app.microventures.com/crowdfunding/canntrade" TargetMode="External"/><Relationship Id="rId595" Type="http://schemas.openxmlformats.org/officeDocument/2006/relationships/hyperlink" Target="https://www.sec.gov/Archives/edgar/data/1802932/000174605920000034/xslC_X01/primary_doc.xml" TargetMode="External"/><Relationship Id="rId305" Type="http://schemas.openxmlformats.org/officeDocument/2006/relationships/hyperlink" Target="https://www.sec.gov/Archives/edgar/data/1784186/000167025419000508/xslC_X01/primary_doc.xml" TargetMode="External"/><Relationship Id="rId426" Type="http://schemas.openxmlformats.org/officeDocument/2006/relationships/hyperlink" Target="https://www.sec.gov/Archives/edgar/data/1716174/000166516020000131/xslC_X01/primary_doc.xml" TargetMode="External"/><Relationship Id="rId547" Type="http://schemas.openxmlformats.org/officeDocument/2006/relationships/hyperlink" Target="https://www.sec.gov/Archives/edgar/data/1740066/000166828719000036/xslC_X01/primary_doc.xml" TargetMode="External"/><Relationship Id="rId304" Type="http://schemas.openxmlformats.org/officeDocument/2006/relationships/hyperlink" Target="https://wefunder.com/boyishrecords" TargetMode="External"/><Relationship Id="rId425" Type="http://schemas.openxmlformats.org/officeDocument/2006/relationships/hyperlink" Target="https://www.startengine.com/commerceai" TargetMode="External"/><Relationship Id="rId546" Type="http://schemas.openxmlformats.org/officeDocument/2006/relationships/hyperlink" Target="https://www.razitall.com/pitch/bum-butt-wipes-container" TargetMode="External"/><Relationship Id="rId303" Type="http://schemas.openxmlformats.org/officeDocument/2006/relationships/hyperlink" Target="https://www.sec.gov/Archives/edgar/data/1777011/000166516020000152/xslC_X01/primary_doc.xml" TargetMode="External"/><Relationship Id="rId424" Type="http://schemas.openxmlformats.org/officeDocument/2006/relationships/hyperlink" Target="http://commerce.ai" TargetMode="External"/><Relationship Id="rId545" Type="http://schemas.openxmlformats.org/officeDocument/2006/relationships/hyperlink" Target="https://www.sec.gov/Archives/edgar/data/1742800/000166828719000051/xslC_X01/primary_doc.xml" TargetMode="External"/><Relationship Id="rId302" Type="http://schemas.openxmlformats.org/officeDocument/2006/relationships/hyperlink" Target="https://www.startengine.com/soapsox" TargetMode="External"/><Relationship Id="rId423" Type="http://schemas.openxmlformats.org/officeDocument/2006/relationships/hyperlink" Target="https://www.sec.gov/Archives/edgar/data/1790595/000166516020000242/xslC_X01/primary_doc.xml" TargetMode="External"/><Relationship Id="rId544" Type="http://schemas.openxmlformats.org/officeDocument/2006/relationships/hyperlink" Target="https://www.razitall.com/pitch/zamii-clean-cleaning-americas-carpets-upholstery" TargetMode="External"/><Relationship Id="rId309" Type="http://schemas.openxmlformats.org/officeDocument/2006/relationships/hyperlink" Target="https://www.sec.gov/Archives/edgar/data/1762281/000166828719000056/xslC_X01/primary_doc.xml" TargetMode="External"/><Relationship Id="rId308" Type="http://schemas.openxmlformats.org/officeDocument/2006/relationships/hyperlink" Target="https://www.razitall.com/pitch/elastico-tequila-craft-distillery-kc-bbq" TargetMode="External"/><Relationship Id="rId429" Type="http://schemas.openxmlformats.org/officeDocument/2006/relationships/hyperlink" Target="https://www.sec.gov/Archives/edgar/data/1793635/000166516020000241/xslC_X01/primary_doc.xml" TargetMode="External"/><Relationship Id="rId307" Type="http://schemas.openxmlformats.org/officeDocument/2006/relationships/hyperlink" Target="https://www.sec.gov/Archives/edgar/data/1777204/000177720419000008/xslC_X01/primary_doc.xml" TargetMode="External"/><Relationship Id="rId428" Type="http://schemas.openxmlformats.org/officeDocument/2006/relationships/hyperlink" Target="https://www.startengine.com/hara-flow" TargetMode="External"/><Relationship Id="rId549" Type="http://schemas.openxmlformats.org/officeDocument/2006/relationships/hyperlink" Target="https://www.sec.gov/Archives/edgar/data/1796828/000179682820000002/xslC_X01/primary_doc.xml" TargetMode="External"/><Relationship Id="rId306" Type="http://schemas.openxmlformats.org/officeDocument/2006/relationships/hyperlink" Target="https://republic.co/helloava" TargetMode="External"/><Relationship Id="rId427" Type="http://schemas.openxmlformats.org/officeDocument/2006/relationships/hyperlink" Target="http://commerce.ai" TargetMode="External"/><Relationship Id="rId548" Type="http://schemas.openxmlformats.org/officeDocument/2006/relationships/hyperlink" Target="https://buytheblock.com/campaign/buying-the-block-in-historic-5th-ward-houston" TargetMode="External"/><Relationship Id="rId301" Type="http://schemas.openxmlformats.org/officeDocument/2006/relationships/hyperlink" Target="https://www.sec.gov/Archives/edgar/data/1775538/000166516020000105/xslC_X01/primary_doc.xml" TargetMode="External"/><Relationship Id="rId422" Type="http://schemas.openxmlformats.org/officeDocument/2006/relationships/hyperlink" Target="https://www.startengine.com/paquitequila" TargetMode="External"/><Relationship Id="rId543" Type="http://schemas.openxmlformats.org/officeDocument/2006/relationships/hyperlink" Target="https://www.sec.gov/Archives/edgar/data/1758447/000166610220000001/xslC_X01/primary_doc.xml" TargetMode="External"/><Relationship Id="rId300" Type="http://schemas.openxmlformats.org/officeDocument/2006/relationships/hyperlink" Target="https://www.startengine.com/liberty-plugins-inc" TargetMode="External"/><Relationship Id="rId421" Type="http://schemas.openxmlformats.org/officeDocument/2006/relationships/hyperlink" Target="https://www.sec.gov/Archives/edgar/data/1786194/000166516019001253/xslC_X01/primary_doc.xml" TargetMode="External"/><Relationship Id="rId542" Type="http://schemas.openxmlformats.org/officeDocument/2006/relationships/hyperlink" Target="https://www.mrcrowd.com/company/SOC" TargetMode="External"/><Relationship Id="rId420" Type="http://schemas.openxmlformats.org/officeDocument/2006/relationships/hyperlink" Target="https://www.startengine.com/sittight-inc" TargetMode="External"/><Relationship Id="rId541" Type="http://schemas.openxmlformats.org/officeDocument/2006/relationships/hyperlink" Target="https://www.sec.gov/Archives/edgar/data/1748253/000166610219000029/xslC_X01/primary_doc.xml" TargetMode="External"/><Relationship Id="rId540" Type="http://schemas.openxmlformats.org/officeDocument/2006/relationships/hyperlink" Target="https://www.mrcrowd.com/company/VBR" TargetMode="External"/><Relationship Id="rId415" Type="http://schemas.openxmlformats.org/officeDocument/2006/relationships/hyperlink" Target="https://www.sec.gov/Archives/edgar/data/1791683/000166516020000141/xslC_X01/primary_doc.xml" TargetMode="External"/><Relationship Id="rId536" Type="http://schemas.openxmlformats.org/officeDocument/2006/relationships/hyperlink" Target="https://wefunder.com/fuchsia.shoes" TargetMode="External"/><Relationship Id="rId414" Type="http://schemas.openxmlformats.org/officeDocument/2006/relationships/hyperlink" Target="https://www.startengine.com/skunk-brothers" TargetMode="External"/><Relationship Id="rId535" Type="http://schemas.openxmlformats.org/officeDocument/2006/relationships/hyperlink" Target="https://www.sec.gov/Archives/edgar/data/1804772/000166516020000184/xslC_X01/primary_doc.xml" TargetMode="External"/><Relationship Id="rId413" Type="http://schemas.openxmlformats.org/officeDocument/2006/relationships/hyperlink" Target="https://www.sec.gov/Archives/edgar/data/1790092/000179009219000004/xslC_X01/primary_doc.xml" TargetMode="External"/><Relationship Id="rId534" Type="http://schemas.openxmlformats.org/officeDocument/2006/relationships/hyperlink" Target="https://www.startengine.com/climatecase" TargetMode="External"/><Relationship Id="rId412" Type="http://schemas.openxmlformats.org/officeDocument/2006/relationships/hyperlink" Target="https://republic.co/sunu" TargetMode="External"/><Relationship Id="rId533" Type="http://schemas.openxmlformats.org/officeDocument/2006/relationships/hyperlink" Target="https://www.sec.gov/Archives/edgar/data/1803730/000166516020000177/xslC_X01/primary_doc.xml" TargetMode="External"/><Relationship Id="rId419" Type="http://schemas.openxmlformats.org/officeDocument/2006/relationships/hyperlink" Target="https://www.sec.gov/Archives/edgar/data/1709628/000167025419000638/xslC_X01/primary_doc.xml" TargetMode="External"/><Relationship Id="rId418" Type="http://schemas.openxmlformats.org/officeDocument/2006/relationships/hyperlink" Target="https://wefunder.com/cloudastructure" TargetMode="External"/><Relationship Id="rId539" Type="http://schemas.openxmlformats.org/officeDocument/2006/relationships/hyperlink" Target="https://www.sec.gov/Archives/edgar/data/1741462/000166610220000002/xslC_X01/primary_doc.xml" TargetMode="External"/><Relationship Id="rId417" Type="http://schemas.openxmlformats.org/officeDocument/2006/relationships/hyperlink" Target="https://www.sec.gov/Archives/edgar/data/1662905/000166516019001205/xslC_X01/primary_doc.xml" TargetMode="External"/><Relationship Id="rId538" Type="http://schemas.openxmlformats.org/officeDocument/2006/relationships/hyperlink" Target="https://www.mrcrowd.com/company/TAC" TargetMode="External"/><Relationship Id="rId416" Type="http://schemas.openxmlformats.org/officeDocument/2006/relationships/hyperlink" Target="https://www.startengine.com/airemos" TargetMode="External"/><Relationship Id="rId537" Type="http://schemas.openxmlformats.org/officeDocument/2006/relationships/hyperlink" Target="https://www.sec.gov/Archives/edgar/data/1800827/000167025420000071/xslC_X01/primary_doc.xml" TargetMode="External"/><Relationship Id="rId411" Type="http://schemas.openxmlformats.org/officeDocument/2006/relationships/hyperlink" Target="https://www.sec.gov/Archives/edgar/data/1639681/000166516020000237/xslC_X01/primary_doc.xml" TargetMode="External"/><Relationship Id="rId532" Type="http://schemas.openxmlformats.org/officeDocument/2006/relationships/hyperlink" Target="https://www.startengine.com/mamiespies" TargetMode="External"/><Relationship Id="rId410" Type="http://schemas.openxmlformats.org/officeDocument/2006/relationships/hyperlink" Target="https://www.startengine.com/biocurity-pharmaceuticals-inc" TargetMode="External"/><Relationship Id="rId531" Type="http://schemas.openxmlformats.org/officeDocument/2006/relationships/hyperlink" Target="https://www.sec.gov/Archives/edgar/data/1803728/000166516020000195/xslC_X01/primary_doc.xml" TargetMode="External"/><Relationship Id="rId530" Type="http://schemas.openxmlformats.org/officeDocument/2006/relationships/hyperlink" Target="https://www.startengine.com/chicastacos" TargetMode="External"/><Relationship Id="rId206" Type="http://schemas.openxmlformats.org/officeDocument/2006/relationships/hyperlink" Target="https://www.startengine.com/openboxbuy" TargetMode="External"/><Relationship Id="rId327" Type="http://schemas.openxmlformats.org/officeDocument/2006/relationships/hyperlink" Target="https://www.sec.gov/Archives/edgar/data/1706765/000167025419000538/xslC_X01/primary_doc.xml" TargetMode="External"/><Relationship Id="rId448" Type="http://schemas.openxmlformats.org/officeDocument/2006/relationships/hyperlink" Target="https://www.sec.gov/Archives/edgar/data/1797650/000155447720000003/xslC_X01/primary_doc.xml" TargetMode="External"/><Relationship Id="rId569" Type="http://schemas.openxmlformats.org/officeDocument/2006/relationships/hyperlink" Target="https://www.sec.gov/Archives/edgar/data/1787344/000167025419000501/xslC_X01/primary_doc.xml" TargetMode="External"/><Relationship Id="rId205" Type="http://schemas.openxmlformats.org/officeDocument/2006/relationships/hyperlink" Target="https://www.sec.gov/Archives/edgar/data/1793079/000179307920000001/xslC_X01/primary_doc.xml" TargetMode="External"/><Relationship Id="rId326" Type="http://schemas.openxmlformats.org/officeDocument/2006/relationships/hyperlink" Target="https://wefunder.com/hobbydb" TargetMode="External"/><Relationship Id="rId447" Type="http://schemas.openxmlformats.org/officeDocument/2006/relationships/hyperlink" Target="https://republic.co/hellowoofy" TargetMode="External"/><Relationship Id="rId568" Type="http://schemas.openxmlformats.org/officeDocument/2006/relationships/hyperlink" Target="https://wefunder.com/celebratewithsarah" TargetMode="External"/><Relationship Id="rId204" Type="http://schemas.openxmlformats.org/officeDocument/2006/relationships/hyperlink" Target="https://republic.co/hearo-live" TargetMode="External"/><Relationship Id="rId325" Type="http://schemas.openxmlformats.org/officeDocument/2006/relationships/hyperlink" Target="https://www.sec.gov/Archives/edgar/data/1787792/000166516020000009/xslC_X01/primary_doc.xml" TargetMode="External"/><Relationship Id="rId446" Type="http://schemas.openxmlformats.org/officeDocument/2006/relationships/hyperlink" Target="http://hellowoofy.com" TargetMode="External"/><Relationship Id="rId567" Type="http://schemas.openxmlformats.org/officeDocument/2006/relationships/hyperlink" Target="https://www.sec.gov/Archives/edgar/data/1807638/000174605920000093/xslC_X01/primary_doc.xml" TargetMode="External"/><Relationship Id="rId203" Type="http://schemas.openxmlformats.org/officeDocument/2006/relationships/hyperlink" Target="https://www.sec.gov/Archives/edgar/data/1749594/000174959420000001/xslC_X01/primary_doc.xml" TargetMode="External"/><Relationship Id="rId324" Type="http://schemas.openxmlformats.org/officeDocument/2006/relationships/hyperlink" Target="https://www.startengine.com/fisherwallace" TargetMode="External"/><Relationship Id="rId445" Type="http://schemas.openxmlformats.org/officeDocument/2006/relationships/hyperlink" Target="https://www.sec.gov/Archives/edgar/data/1691657/000169165719000001/xslC_X01/primary_doc.xml" TargetMode="External"/><Relationship Id="rId566" Type="http://schemas.openxmlformats.org/officeDocument/2006/relationships/hyperlink" Target="https://mainvest.com/businesses/smokey-vale/overview" TargetMode="External"/><Relationship Id="rId209" Type="http://schemas.openxmlformats.org/officeDocument/2006/relationships/hyperlink" Target="https://www.sec.gov/Archives/edgar/data/1758617/000166516019001233/xslC_X01/primary_doc.xml" TargetMode="External"/><Relationship Id="rId208" Type="http://schemas.openxmlformats.org/officeDocument/2006/relationships/hyperlink" Target="https://www.startengine.com/karaganda" TargetMode="External"/><Relationship Id="rId329" Type="http://schemas.openxmlformats.org/officeDocument/2006/relationships/hyperlink" Target="https://www.sec.gov/Archives/edgar/data/1787343/000167025419000530/xslC_X01/primary_doc.xml" TargetMode="External"/><Relationship Id="rId207" Type="http://schemas.openxmlformats.org/officeDocument/2006/relationships/hyperlink" Target="https://www.sec.gov/Archives/edgar/data/1761248/000166516020000187/xslC_X01/primary_doc.xml" TargetMode="External"/><Relationship Id="rId328" Type="http://schemas.openxmlformats.org/officeDocument/2006/relationships/hyperlink" Target="https://wefunder.com/gravatate.inc" TargetMode="External"/><Relationship Id="rId449" Type="http://schemas.openxmlformats.org/officeDocument/2006/relationships/hyperlink" Target="http://hellowoofy.com" TargetMode="External"/><Relationship Id="rId440" Type="http://schemas.openxmlformats.org/officeDocument/2006/relationships/hyperlink" Target="https://republic.co/juna" TargetMode="External"/><Relationship Id="rId561" Type="http://schemas.openxmlformats.org/officeDocument/2006/relationships/hyperlink" Target="https://www.sec.gov/Archives/edgar/data/1802569/000180256920000001/xslC_X01/primary_doc.xml" TargetMode="External"/><Relationship Id="rId560" Type="http://schemas.openxmlformats.org/officeDocument/2006/relationships/hyperlink" Target="https://www.nextseed.com/offerings/xin-chao" TargetMode="External"/><Relationship Id="rId202" Type="http://schemas.openxmlformats.org/officeDocument/2006/relationships/hyperlink" Target="https://republic.co/asarasi" TargetMode="External"/><Relationship Id="rId323" Type="http://schemas.openxmlformats.org/officeDocument/2006/relationships/hyperlink" Target="https://www.sec.gov/Archives/edgar/data/1782777/000178277719000002/xslC_X01/primary_doc.xml" TargetMode="External"/><Relationship Id="rId444" Type="http://schemas.openxmlformats.org/officeDocument/2006/relationships/hyperlink" Target="https://republic.co/stareable" TargetMode="External"/><Relationship Id="rId565" Type="http://schemas.openxmlformats.org/officeDocument/2006/relationships/hyperlink" Target="https://www.sec.gov/Archives/edgar/data/1807625/000174605920000090/xslC_X01/primary_doc.xml" TargetMode="External"/><Relationship Id="rId201" Type="http://schemas.openxmlformats.org/officeDocument/2006/relationships/hyperlink" Target="https://www.sec.gov/Archives/edgar/data/1690474/000169047420000002/xslC_X01/primary_doc.xml" TargetMode="External"/><Relationship Id="rId322" Type="http://schemas.openxmlformats.org/officeDocument/2006/relationships/hyperlink" Target="https://republic.co/youcanevent" TargetMode="External"/><Relationship Id="rId443" Type="http://schemas.openxmlformats.org/officeDocument/2006/relationships/hyperlink" Target="https://www.sec.gov/Archives/edgar/data/1769091/000176909119000003/xslC_X01/primary_doc.xml" TargetMode="External"/><Relationship Id="rId564" Type="http://schemas.openxmlformats.org/officeDocument/2006/relationships/hyperlink" Target="https://mainvest.com/businesses/aloha-tropical-bowls/overview" TargetMode="External"/><Relationship Id="rId200" Type="http://schemas.openxmlformats.org/officeDocument/2006/relationships/hyperlink" Target="https://republic.co/blue" TargetMode="External"/><Relationship Id="rId321" Type="http://schemas.openxmlformats.org/officeDocument/2006/relationships/hyperlink" Target="https://www.sec.gov/Archives/edgar/data/1787345/000167025419000518/xslC_X01/primary_doc.xml" TargetMode="External"/><Relationship Id="rId442" Type="http://schemas.openxmlformats.org/officeDocument/2006/relationships/hyperlink" Target="https://republic.co/rocket-dollar" TargetMode="External"/><Relationship Id="rId563" Type="http://schemas.openxmlformats.org/officeDocument/2006/relationships/hyperlink" Target="https://www.sec.gov/Archives/edgar/data/1798432/000174605920000092/xslC_X01/primary_doc.xml" TargetMode="External"/><Relationship Id="rId320" Type="http://schemas.openxmlformats.org/officeDocument/2006/relationships/hyperlink" Target="https://wefunder.com/sunvessel" TargetMode="External"/><Relationship Id="rId441" Type="http://schemas.openxmlformats.org/officeDocument/2006/relationships/hyperlink" Target="https://www.sec.gov/Archives/edgar/data/1796599/000179659919000001/xslC_X01/primary_doc.xml" TargetMode="External"/><Relationship Id="rId562" Type="http://schemas.openxmlformats.org/officeDocument/2006/relationships/hyperlink" Target="https://mainvest.com/businesses/hot-oven-cookies/overview" TargetMode="External"/><Relationship Id="rId316" Type="http://schemas.openxmlformats.org/officeDocument/2006/relationships/hyperlink" Target="https://republic.co/avenify" TargetMode="External"/><Relationship Id="rId437" Type="http://schemas.openxmlformats.org/officeDocument/2006/relationships/hyperlink" Target="https://www.sec.gov/Archives/edgar/data/1681290/000166516020000240/xslC_X01/primary_doc.xml" TargetMode="External"/><Relationship Id="rId558" Type="http://schemas.openxmlformats.org/officeDocument/2006/relationships/hyperlink" Target="https://app.honeycombcredit.com/en/projects/11357-Brambler-Boutique" TargetMode="External"/><Relationship Id="rId315" Type="http://schemas.openxmlformats.org/officeDocument/2006/relationships/hyperlink" Target="https://www.sec.gov/Archives/edgar/data/1787006/000166919120000024/xslC_X01/primary_doc.xml" TargetMode="External"/><Relationship Id="rId436" Type="http://schemas.openxmlformats.org/officeDocument/2006/relationships/hyperlink" Target="https://www.startengine.com/primelightworks" TargetMode="External"/><Relationship Id="rId557" Type="http://schemas.openxmlformats.org/officeDocument/2006/relationships/hyperlink" Target="https://www.sec.gov/Archives/edgar/data/1777274/000177727420000004/xslC_X01/primary_doc.xml" TargetMode="External"/><Relationship Id="rId314" Type="http://schemas.openxmlformats.org/officeDocument/2006/relationships/hyperlink" Target="https://netcapital.com/companies/selenbio" TargetMode="External"/><Relationship Id="rId435" Type="http://schemas.openxmlformats.org/officeDocument/2006/relationships/hyperlink" Target="https://www.sec.gov/Archives/edgar/data/1797125/000166516020000254/xslC_X01/primary_doc.xml" TargetMode="External"/><Relationship Id="rId556" Type="http://schemas.openxmlformats.org/officeDocument/2006/relationships/hyperlink" Target="https://app.microventures.com/crowdfunding/oracle-health" TargetMode="External"/><Relationship Id="rId313" Type="http://schemas.openxmlformats.org/officeDocument/2006/relationships/hyperlink" Target="https://www.sec.gov/Archives/edgar/data/1752095/000166610219000021/xslC_X01/primary_doc.xml" TargetMode="External"/><Relationship Id="rId434" Type="http://schemas.openxmlformats.org/officeDocument/2006/relationships/hyperlink" Target="https://www.startengine.com/rumblemotors" TargetMode="External"/><Relationship Id="rId555" Type="http://schemas.openxmlformats.org/officeDocument/2006/relationships/hyperlink" Target="https://www.sec.gov/Archives/edgar/data/1446275/000166516020000007/xslC_X01/primary_doc.xml" TargetMode="External"/><Relationship Id="rId319" Type="http://schemas.openxmlformats.org/officeDocument/2006/relationships/hyperlink" Target="https://www.sec.gov/Archives/edgar/data/1790207/000166828719000059/xslC_X01/primary_doc.xml" TargetMode="External"/><Relationship Id="rId318" Type="http://schemas.openxmlformats.org/officeDocument/2006/relationships/hyperlink" Target="https://www.razitall.com/pitch/chinese-global-real-estate-investments" TargetMode="External"/><Relationship Id="rId439" Type="http://schemas.openxmlformats.org/officeDocument/2006/relationships/hyperlink" Target="https://www.sec.gov/Archives/edgar/data/1794140/000166516019001235/xslC_X01/primary_doc.xml" TargetMode="External"/><Relationship Id="rId317" Type="http://schemas.openxmlformats.org/officeDocument/2006/relationships/hyperlink" Target="https://www.sec.gov/Archives/edgar/data/1784191/000178419119000003/xslC_X01/primary_doc.xml" TargetMode="External"/><Relationship Id="rId438" Type="http://schemas.openxmlformats.org/officeDocument/2006/relationships/hyperlink" Target="https://www.startengine.com/companioncbd" TargetMode="External"/><Relationship Id="rId559" Type="http://schemas.openxmlformats.org/officeDocument/2006/relationships/hyperlink" Target="https://www.sec.gov/Archives/edgar/data/1806194/000180619420000001/xslC_X01/primary_doc.xml" TargetMode="External"/><Relationship Id="rId550" Type="http://schemas.openxmlformats.org/officeDocument/2006/relationships/hyperlink" Target="https://crowdsourcefunded.com/offerings/14/cycles/14" TargetMode="External"/><Relationship Id="rId312" Type="http://schemas.openxmlformats.org/officeDocument/2006/relationships/hyperlink" Target="https://www.mrcrowd.com/company/SB" TargetMode="External"/><Relationship Id="rId433" Type="http://schemas.openxmlformats.org/officeDocument/2006/relationships/hyperlink" Target="https://www.sec.gov/Archives/edgar/data/1794075/000167025419000700/xslC_X01/primary_doc.xml" TargetMode="External"/><Relationship Id="rId554" Type="http://schemas.openxmlformats.org/officeDocument/2006/relationships/hyperlink" Target="https://www.startengine.com/liquidpiston" TargetMode="External"/><Relationship Id="rId311" Type="http://schemas.openxmlformats.org/officeDocument/2006/relationships/hyperlink" Target="https://www.sec.gov/Archives/edgar/data/1785176/000178517619000002/xslC_X01/primary_doc.xml" TargetMode="External"/><Relationship Id="rId432" Type="http://schemas.openxmlformats.org/officeDocument/2006/relationships/hyperlink" Target="https://wefunder.com/skillsoniq" TargetMode="External"/><Relationship Id="rId553" Type="http://schemas.openxmlformats.org/officeDocument/2006/relationships/hyperlink" Target="https://www.sec.gov/Archives/edgar/data/1626196/000166516020000157/xslC_X01/primary_doc.xml" TargetMode="External"/><Relationship Id="rId310" Type="http://schemas.openxmlformats.org/officeDocument/2006/relationships/hyperlink" Target="https://republic.co/layali" TargetMode="External"/><Relationship Id="rId431" Type="http://schemas.openxmlformats.org/officeDocument/2006/relationships/hyperlink" Target="https://www.sec.gov/Archives/edgar/data/1792745/000166516019001240/xslC_X01/primary_doc.xml" TargetMode="External"/><Relationship Id="rId552" Type="http://schemas.openxmlformats.org/officeDocument/2006/relationships/hyperlink" Target="https://www.startengine.com/geoship" TargetMode="External"/><Relationship Id="rId430" Type="http://schemas.openxmlformats.org/officeDocument/2006/relationships/hyperlink" Target="https://www.startengine.com/tacotopia-inc" TargetMode="External"/><Relationship Id="rId551" Type="http://schemas.openxmlformats.org/officeDocument/2006/relationships/hyperlink" Target="https://www.sec.gov/Archives/edgar/data/1780452/000178045220000001/xslC_X01/primary_doc.x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2" width="8.43"/>
    <col customWidth="1" min="3" max="3" width="39.57"/>
    <col customWidth="1" min="4" max="4" width="18.86"/>
    <col customWidth="1" min="5" max="5" width="22.0"/>
    <col customWidth="1" min="6" max="6" width="14.0"/>
    <col customWidth="1" min="7" max="7" width="14.29"/>
    <col customWidth="1" min="8" max="8" width="15.86"/>
    <col customWidth="1" min="9" max="9" width="22.71"/>
    <col customWidth="1" min="10" max="10" width="19.14"/>
    <col customWidth="1" min="11" max="11" width="28.43"/>
    <col customWidth="1" min="12" max="12" width="18.86"/>
    <col customWidth="1" min="13" max="13" width="12.86"/>
    <col customWidth="1" min="14" max="14" width="10.86"/>
    <col customWidth="1" min="15" max="16" width="22.29"/>
    <col customWidth="1" min="17" max="17" width="18.29"/>
    <col customWidth="1" min="18" max="18" width="29.71"/>
    <col customWidth="1" min="19" max="20" width="22.14"/>
    <col customWidth="1" min="21" max="21" width="18.14"/>
    <col customWidth="1" min="22" max="22" width="14.57"/>
    <col customWidth="1" min="23" max="23" width="30.0"/>
    <col customWidth="1" min="24" max="25" width="22.0"/>
    <col customWidth="1" min="26" max="26" width="16.14"/>
    <col customWidth="1" min="27" max="27" width="20.14"/>
    <col customWidth="1" min="28" max="28" width="15.29"/>
    <col customWidth="1" min="29" max="29" width="31.0"/>
    <col customWidth="1" min="30" max="30" width="13.57"/>
    <col customWidth="1" min="31" max="31" width="22.86"/>
    <col customWidth="1" min="32" max="32" width="21.43"/>
    <col customWidth="1" min="33" max="33" width="24.29"/>
    <col customWidth="1" min="34" max="34" width="27.14"/>
    <col customWidth="1" min="35" max="35" width="25.86"/>
    <col customWidth="1" min="36" max="36" width="34.71"/>
    <col customWidth="1" min="37" max="37" width="20.71"/>
    <col customWidth="1" min="38" max="38" width="29.57"/>
    <col customWidth="1" min="39" max="39" width="19.57"/>
    <col customWidth="1" min="40" max="40" width="28.14"/>
    <col customWidth="1" min="41" max="41" width="26.43"/>
    <col customWidth="1" min="42" max="42" width="21.86"/>
    <col customWidth="1" min="43" max="43" width="19.29"/>
    <col customWidth="1" min="44" max="44" width="30.71"/>
    <col customWidth="1" min="45" max="45" width="19.29"/>
    <col customWidth="1" min="46" max="46" width="13.0"/>
    <col customWidth="1" min="47" max="47" width="11.29"/>
    <col customWidth="1" min="48" max="48" width="23.86"/>
    <col customWidth="1" min="49" max="49" width="14.43"/>
    <col customWidth="1" min="50" max="50" width="24.0"/>
    <col customWidth="1" min="51" max="51" width="19.71"/>
    <col customWidth="1" min="52" max="52" width="35.0"/>
    <col customWidth="1" min="53" max="53" width="43.86"/>
    <col customWidth="1" min="54" max="54" width="30.29"/>
    <col customWidth="1" min="55" max="55" width="39.14"/>
    <col customWidth="1" min="56" max="56" width="20.71"/>
    <col customWidth="1" min="57" max="57" width="25.0"/>
    <col customWidth="1" min="58" max="58" width="18.14"/>
    <col customWidth="1" min="59" max="59" width="18.29"/>
    <col customWidth="1" min="60" max="60" width="13.57"/>
    <col customWidth="1" min="61" max="61" width="24.29"/>
    <col customWidth="1" min="62" max="62" width="22.14"/>
    <col customWidth="1" min="63" max="63" width="23.71"/>
    <col customWidth="1" min="64" max="64" width="23.0"/>
    <col customWidth="1" min="65" max="65" width="20.29"/>
    <col customWidth="1" min="66" max="66" width="11.71"/>
    <col customWidth="1" min="67" max="68" width="18.57"/>
    <col customWidth="1" min="69" max="69" width="3.29"/>
    <col customWidth="1" min="70" max="70" width="41.0"/>
    <col customWidth="1" min="71" max="71" width="32.71"/>
    <col customWidth="1" min="72" max="72" width="16.86"/>
    <col customWidth="1" min="73" max="73" width="15.71"/>
    <col customWidth="1" min="74" max="74" width="35.43"/>
    <col customWidth="1" min="75" max="75" width="3.57"/>
    <col customWidth="1" min="76" max="76" width="41.0"/>
    <col customWidth="1" min="77" max="77" width="32.71"/>
    <col customWidth="1" min="78" max="78" width="16.86"/>
    <col customWidth="1" min="79" max="79" width="15.71"/>
    <col customWidth="1" min="80" max="80" width="35.43"/>
    <col customWidth="1" min="81" max="81" width="3.57"/>
    <col customWidth="1" min="82" max="82" width="41.0"/>
    <col customWidth="1" min="83" max="83" width="32.71"/>
    <col customWidth="1" min="84" max="84" width="16.86"/>
    <col customWidth="1" min="85" max="85" width="15.71"/>
    <col customWidth="1" min="86" max="86" width="35.43"/>
    <col customWidth="1" min="87" max="87" width="3.14"/>
    <col customWidth="1" min="88" max="88" width="41.0"/>
    <col customWidth="1" min="89" max="89" width="32.71"/>
    <col customWidth="1" min="90" max="90" width="16.86"/>
    <col customWidth="1" min="91" max="91" width="15.71"/>
    <col customWidth="1" min="92" max="92" width="35.43"/>
    <col customWidth="1" min="93" max="93" width="3.57"/>
    <col customWidth="1" min="94" max="94" width="41.0"/>
    <col customWidth="1" min="95" max="95" width="32.71"/>
    <col customWidth="1" min="96" max="96" width="16.86"/>
    <col customWidth="1" min="97" max="97" width="15.71"/>
    <col customWidth="1" min="98" max="98" width="35.43"/>
    <col customWidth="1" min="99" max="99" width="3.57"/>
    <col customWidth="1" min="100" max="100" width="41.0"/>
    <col customWidth="1" min="101" max="101" width="32.71"/>
    <col customWidth="1" min="102" max="102" width="16.86"/>
    <col customWidth="1" min="103" max="103" width="15.71"/>
    <col customWidth="1" min="104" max="104" width="35.43"/>
    <col customWidth="1" min="105" max="105" width="3.57"/>
    <col customWidth="1" min="106" max="106" width="41.0"/>
    <col customWidth="1" min="107" max="107" width="32.71"/>
    <col customWidth="1" min="108" max="108" width="16.86"/>
    <col customWidth="1" min="109" max="109" width="15.71"/>
    <col customWidth="1" min="110" max="110" width="35.43"/>
    <col customWidth="1" min="111" max="111" width="3.57"/>
    <col customWidth="1" min="112" max="112" width="41.0"/>
    <col customWidth="1" min="113" max="113" width="32.71"/>
    <col customWidth="1" min="114" max="114" width="16.86"/>
    <col customWidth="1" min="115" max="115" width="15.71"/>
    <col customWidth="1" min="116" max="116" width="35.43"/>
    <col customWidth="1" min="117" max="117" width="3.57"/>
    <col customWidth="1" min="118" max="118" width="41.0"/>
    <col customWidth="1" min="119" max="119" width="32.71"/>
    <col customWidth="1" min="120" max="120" width="16.86"/>
    <col customWidth="1" min="121" max="121" width="15.71"/>
    <col customWidth="1" min="122" max="122" width="35.43"/>
    <col customWidth="1" min="123" max="125" width="3.57"/>
    <col customWidth="1" min="126" max="126" width="21.43"/>
    <col customWidth="1" min="127" max="127" width="3.57"/>
    <col customWidth="1" min="128" max="128" width="34.57"/>
    <col customWidth="1" min="129" max="129" width="34.0"/>
    <col customWidth="1" min="130" max="130" width="11.14"/>
    <col customWidth="1" min="131" max="131" width="9.29"/>
    <col customWidth="1" min="132" max="132" width="13.57"/>
    <col customWidth="1" min="133" max="133" width="4.29"/>
    <col customWidth="1" min="134" max="137" width="21.43"/>
    <col customWidth="1" min="138" max="138" width="13.0"/>
    <col customWidth="1" min="139" max="139" width="25.86"/>
    <col customWidth="1" min="140" max="141" width="21.43"/>
    <col customWidth="1" min="142" max="142" width="4.29"/>
    <col customWidth="1" min="143" max="143" width="25.14"/>
    <col customWidth="1" min="144" max="144" width="15.43"/>
    <col customWidth="1" min="145" max="146" width="21.43"/>
    <col customWidth="1" min="147" max="147" width="20.71"/>
    <col customWidth="1" min="148" max="148" width="4.29"/>
    <col customWidth="1" min="149" max="149" width="29.71"/>
    <col customWidth="1" min="150" max="150" width="21.86"/>
    <col customWidth="1" min="151" max="151" width="11.43"/>
    <col customWidth="1" min="152" max="153" width="14.71"/>
    <col customWidth="1" min="154" max="154" width="26.29"/>
    <col customWidth="1" min="155" max="155" width="21.43"/>
    <col customWidth="1" min="156" max="156" width="26.14"/>
    <col customWidth="1" min="157" max="157" width="21.43"/>
    <col customWidth="1" min="158" max="158" width="23.43"/>
    <col customWidth="1" min="159" max="159" width="21.43"/>
    <col customWidth="1" min="160" max="160" width="39.14"/>
    <col customWidth="1" min="161" max="161" width="21.43"/>
    <col customWidth="1" min="162" max="162" width="23.29"/>
    <col customWidth="1" min="163" max="163" width="24.29"/>
    <col customWidth="1" min="164" max="164" width="24.14"/>
    <col customWidth="1" min="165" max="165" width="4.29"/>
    <col customWidth="1" min="166" max="166" width="27.57"/>
    <col customWidth="1" min="167" max="167" width="21.43"/>
    <col customWidth="1" min="168" max="168" width="30.57"/>
    <col customWidth="1" min="169" max="169" width="21.43"/>
    <col customWidth="1" min="170" max="170" width="19.29"/>
    <col customWidth="1" min="171" max="171" width="21.43"/>
    <col customWidth="1" min="172" max="172" width="28.43"/>
    <col customWidth="1" min="173" max="173" width="21.43"/>
    <col customWidth="1" min="174" max="174" width="4.29"/>
    <col customWidth="1" min="175" max="175" width="23.43"/>
    <col customWidth="1" min="176" max="176" width="9.71"/>
    <col customWidth="1" min="177" max="177" width="18.14"/>
    <col customWidth="1" min="178" max="178" width="15.29"/>
    <col customWidth="1" min="179" max="180" width="20.57"/>
    <col customWidth="1" min="181" max="181" width="30.86"/>
    <col customWidth="1" min="182" max="182" width="21.43"/>
    <col customWidth="1" min="183" max="183" width="4.29"/>
    <col customWidth="1" min="184" max="184" width="19.0"/>
    <col customWidth="1" min="185" max="185" width="23.43"/>
    <col customWidth="1" min="186" max="186" width="21.43"/>
    <col customWidth="1" min="187" max="187" width="28.29"/>
    <col customWidth="1" min="188" max="188" width="21.43"/>
    <col customWidth="1" min="189" max="189" width="37.43"/>
    <col customWidth="1" min="190" max="190" width="21.43"/>
    <col customWidth="1" min="191" max="191" width="4.29"/>
    <col customWidth="1" min="192" max="193" width="21.43"/>
    <col customWidth="1" min="194" max="194" width="40.29"/>
  </cols>
  <sheetData>
    <row r="1" ht="17.25" customHeight="1">
      <c r="A1" s="2"/>
      <c r="B1" s="4"/>
      <c r="C1" s="8"/>
      <c r="D1" s="10"/>
      <c r="E1" s="10"/>
      <c r="F1" s="12"/>
      <c r="G1" s="12"/>
      <c r="H1" s="10"/>
      <c r="I1" s="8"/>
      <c r="J1" s="8"/>
      <c r="K1" s="10"/>
      <c r="L1" s="10"/>
      <c r="M1" s="10"/>
      <c r="N1" s="10"/>
      <c r="O1" s="10"/>
      <c r="P1" s="10"/>
      <c r="Q1" s="10"/>
      <c r="R1" s="14"/>
      <c r="S1" s="26"/>
      <c r="T1" s="27"/>
      <c r="U1" s="27"/>
      <c r="V1" s="28"/>
      <c r="W1" s="27"/>
      <c r="X1" s="27"/>
      <c r="Y1" s="27"/>
      <c r="Z1" s="10"/>
      <c r="AA1" s="10"/>
      <c r="AB1" s="10"/>
      <c r="AC1" s="10"/>
      <c r="AD1" s="10"/>
      <c r="AE1" s="10"/>
      <c r="AF1" s="10"/>
      <c r="AG1" s="27"/>
      <c r="AH1" s="27"/>
      <c r="AI1" s="27"/>
      <c r="AJ1" s="28"/>
      <c r="AK1" s="29"/>
      <c r="AL1" s="10"/>
      <c r="AM1" s="10"/>
      <c r="AN1" s="10"/>
      <c r="AO1" s="10"/>
      <c r="AP1" s="10"/>
      <c r="AQ1" s="30"/>
      <c r="AR1" s="30"/>
      <c r="AS1" s="10"/>
      <c r="AT1" s="10"/>
      <c r="AU1" s="10"/>
      <c r="AV1" s="10"/>
      <c r="AW1" s="27"/>
      <c r="AX1" s="27"/>
      <c r="AY1" s="27"/>
      <c r="AZ1" s="27"/>
      <c r="BA1" s="26"/>
      <c r="BB1" s="26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34"/>
      <c r="DX1" s="35" t="s">
        <v>96</v>
      </c>
      <c r="DY1" s="36"/>
      <c r="DZ1" s="36"/>
      <c r="EA1" s="36"/>
      <c r="EB1" s="37"/>
      <c r="EC1" s="39"/>
      <c r="ED1" s="40" t="s">
        <v>111</v>
      </c>
      <c r="EE1" s="36"/>
      <c r="EF1" s="36"/>
      <c r="EG1" s="36"/>
      <c r="EH1" s="36"/>
      <c r="EI1" s="36"/>
      <c r="EJ1" s="36"/>
      <c r="EK1" s="37"/>
      <c r="EL1" s="39"/>
      <c r="EM1" s="41" t="s">
        <v>115</v>
      </c>
      <c r="EN1" s="36"/>
      <c r="EO1" s="36"/>
      <c r="EP1" s="36"/>
      <c r="EQ1" s="37"/>
      <c r="ER1" s="39"/>
      <c r="ES1" s="40" t="s">
        <v>118</v>
      </c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7"/>
      <c r="FI1" s="39"/>
      <c r="FJ1" s="43" t="s">
        <v>129</v>
      </c>
      <c r="FK1" s="36"/>
      <c r="FL1" s="36"/>
      <c r="FM1" s="36"/>
      <c r="FN1" s="36"/>
      <c r="FO1" s="36"/>
      <c r="FP1" s="36"/>
      <c r="FQ1" s="37"/>
      <c r="FR1" s="39"/>
      <c r="FS1" s="40" t="s">
        <v>137</v>
      </c>
      <c r="FT1" s="36"/>
      <c r="FU1" s="36"/>
      <c r="FV1" s="36"/>
      <c r="FW1" s="36"/>
      <c r="FX1" s="36"/>
      <c r="FY1" s="36"/>
      <c r="FZ1" s="37"/>
      <c r="GA1" s="39"/>
      <c r="GB1" s="40" t="s">
        <v>146</v>
      </c>
      <c r="GC1" s="36"/>
      <c r="GD1" s="36"/>
      <c r="GE1" s="36"/>
      <c r="GF1" s="36"/>
      <c r="GG1" s="36"/>
      <c r="GH1" s="37"/>
      <c r="GI1" s="39"/>
      <c r="GJ1" s="47"/>
      <c r="GK1" s="39"/>
      <c r="GL1" s="48"/>
    </row>
    <row r="2" ht="17.25" customHeight="1">
      <c r="A2" s="49" t="s">
        <v>163</v>
      </c>
      <c r="B2" s="50" t="s">
        <v>165</v>
      </c>
      <c r="C2" s="8" t="s">
        <v>170</v>
      </c>
      <c r="D2" s="30" t="s">
        <v>171</v>
      </c>
      <c r="E2" s="30" t="s">
        <v>19</v>
      </c>
      <c r="F2" s="12" t="s">
        <v>173</v>
      </c>
      <c r="G2" s="12" t="s">
        <v>175</v>
      </c>
      <c r="H2" s="30" t="s">
        <v>176</v>
      </c>
      <c r="I2" s="8" t="s">
        <v>177</v>
      </c>
      <c r="J2" s="8" t="s">
        <v>178</v>
      </c>
      <c r="K2" s="30" t="s">
        <v>179</v>
      </c>
      <c r="L2" s="30" t="s">
        <v>180</v>
      </c>
      <c r="M2" s="30" t="s">
        <v>182</v>
      </c>
      <c r="N2" s="30" t="s">
        <v>183</v>
      </c>
      <c r="O2" s="30" t="s">
        <v>184</v>
      </c>
      <c r="P2" s="30" t="s">
        <v>185</v>
      </c>
      <c r="Q2" s="30" t="s">
        <v>186</v>
      </c>
      <c r="R2" s="51" t="s">
        <v>188</v>
      </c>
      <c r="S2" s="52" t="s">
        <v>189</v>
      </c>
      <c r="T2" s="53" t="s">
        <v>191</v>
      </c>
      <c r="U2" s="53" t="s">
        <v>196</v>
      </c>
      <c r="V2" s="54" t="s">
        <v>197</v>
      </c>
      <c r="W2" s="53" t="s">
        <v>200</v>
      </c>
      <c r="X2" s="53" t="s">
        <v>201</v>
      </c>
      <c r="Y2" s="53" t="s">
        <v>202</v>
      </c>
      <c r="Z2" s="30" t="s">
        <v>203</v>
      </c>
      <c r="AA2" s="30" t="s">
        <v>204</v>
      </c>
      <c r="AB2" s="30" t="s">
        <v>205</v>
      </c>
      <c r="AC2" s="30" t="s">
        <v>206</v>
      </c>
      <c r="AD2" s="30" t="s">
        <v>208</v>
      </c>
      <c r="AE2" s="30" t="s">
        <v>209</v>
      </c>
      <c r="AF2" s="30" t="s">
        <v>210</v>
      </c>
      <c r="AG2" s="53" t="s">
        <v>211</v>
      </c>
      <c r="AH2" s="53" t="s">
        <v>212</v>
      </c>
      <c r="AI2" s="53" t="s">
        <v>213</v>
      </c>
      <c r="AJ2" s="53" t="s">
        <v>214</v>
      </c>
      <c r="AK2" s="55" t="s">
        <v>215</v>
      </c>
      <c r="AL2" s="30" t="s">
        <v>217</v>
      </c>
      <c r="AM2" s="30" t="s">
        <v>218</v>
      </c>
      <c r="AN2" s="30" t="s">
        <v>219</v>
      </c>
      <c r="AO2" s="30" t="s">
        <v>223</v>
      </c>
      <c r="AP2" s="30" t="s">
        <v>224</v>
      </c>
      <c r="AQ2" s="30" t="s">
        <v>20</v>
      </c>
      <c r="AR2" s="30" t="s">
        <v>21</v>
      </c>
      <c r="AS2" s="30" t="s">
        <v>226</v>
      </c>
      <c r="AT2" s="30" t="s">
        <v>227</v>
      </c>
      <c r="AU2" s="30" t="s">
        <v>228</v>
      </c>
      <c r="AV2" s="30" t="s">
        <v>229</v>
      </c>
      <c r="AW2" s="53" t="s">
        <v>231</v>
      </c>
      <c r="AX2" s="53" t="s">
        <v>233</v>
      </c>
      <c r="AY2" s="53" t="s">
        <v>234</v>
      </c>
      <c r="AZ2" s="53" t="s">
        <v>235</v>
      </c>
      <c r="BA2" s="53" t="s">
        <v>236</v>
      </c>
      <c r="BB2" s="30" t="s">
        <v>237</v>
      </c>
      <c r="BC2" s="30" t="s">
        <v>238</v>
      </c>
      <c r="BD2" s="30" t="s">
        <v>239</v>
      </c>
      <c r="BE2" s="30" t="s">
        <v>241</v>
      </c>
      <c r="BF2" s="30" t="s">
        <v>242</v>
      </c>
      <c r="BG2" s="30" t="s">
        <v>243</v>
      </c>
      <c r="BH2" s="30" t="s">
        <v>244</v>
      </c>
      <c r="BI2" s="30" t="s">
        <v>245</v>
      </c>
      <c r="BJ2" s="30" t="s">
        <v>246</v>
      </c>
      <c r="BK2" s="30" t="s">
        <v>247</v>
      </c>
      <c r="BL2" s="30" t="s">
        <v>248</v>
      </c>
      <c r="BM2" s="30" t="s">
        <v>249</v>
      </c>
      <c r="BN2" s="30" t="s">
        <v>251</v>
      </c>
      <c r="BO2" s="30" t="s">
        <v>252</v>
      </c>
      <c r="BP2" s="30" t="s">
        <v>253</v>
      </c>
      <c r="BQ2" s="30" t="s">
        <v>254</v>
      </c>
      <c r="BR2" s="30" t="s">
        <v>255</v>
      </c>
      <c r="BS2" s="30" t="s">
        <v>256</v>
      </c>
      <c r="BT2" s="30" t="s">
        <v>257</v>
      </c>
      <c r="BU2" s="30" t="s">
        <v>258</v>
      </c>
      <c r="BV2" s="30" t="s">
        <v>259</v>
      </c>
      <c r="BW2" s="30" t="s">
        <v>260</v>
      </c>
      <c r="BX2" s="30" t="s">
        <v>261</v>
      </c>
      <c r="BY2" s="30" t="s">
        <v>263</v>
      </c>
      <c r="BZ2" s="30" t="s">
        <v>265</v>
      </c>
      <c r="CA2" s="30" t="s">
        <v>266</v>
      </c>
      <c r="CB2" s="30" t="s">
        <v>268</v>
      </c>
      <c r="CC2" s="30" t="s">
        <v>269</v>
      </c>
      <c r="CD2" s="30" t="s">
        <v>270</v>
      </c>
      <c r="CE2" s="30" t="s">
        <v>271</v>
      </c>
      <c r="CF2" s="30" t="s">
        <v>272</v>
      </c>
      <c r="CG2" s="30" t="s">
        <v>273</v>
      </c>
      <c r="CH2" s="30" t="s">
        <v>275</v>
      </c>
      <c r="CI2" s="30" t="s">
        <v>277</v>
      </c>
      <c r="CJ2" s="30" t="s">
        <v>278</v>
      </c>
      <c r="CK2" s="30" t="s">
        <v>279</v>
      </c>
      <c r="CL2" s="30" t="s">
        <v>280</v>
      </c>
      <c r="CM2" s="30" t="s">
        <v>281</v>
      </c>
      <c r="CN2" s="30" t="s">
        <v>282</v>
      </c>
      <c r="CO2" s="30" t="s">
        <v>283</v>
      </c>
      <c r="CP2" s="30" t="s">
        <v>285</v>
      </c>
      <c r="CQ2" s="30" t="s">
        <v>286</v>
      </c>
      <c r="CR2" s="30" t="s">
        <v>287</v>
      </c>
      <c r="CS2" s="30" t="s">
        <v>288</v>
      </c>
      <c r="CT2" s="30" t="s">
        <v>289</v>
      </c>
      <c r="CU2" s="30" t="s">
        <v>290</v>
      </c>
      <c r="CV2" s="30" t="s">
        <v>291</v>
      </c>
      <c r="CW2" s="30" t="s">
        <v>292</v>
      </c>
      <c r="CX2" s="30" t="s">
        <v>293</v>
      </c>
      <c r="CY2" s="30" t="s">
        <v>294</v>
      </c>
      <c r="CZ2" s="30" t="s">
        <v>295</v>
      </c>
      <c r="DA2" s="30" t="s">
        <v>296</v>
      </c>
      <c r="DB2" s="30" t="s">
        <v>297</v>
      </c>
      <c r="DC2" s="30" t="s">
        <v>298</v>
      </c>
      <c r="DD2" s="30" t="s">
        <v>299</v>
      </c>
      <c r="DE2" s="30" t="s">
        <v>300</v>
      </c>
      <c r="DF2" s="30" t="s">
        <v>301</v>
      </c>
      <c r="DG2" s="30" t="s">
        <v>302</v>
      </c>
      <c r="DH2" s="30" t="s">
        <v>303</v>
      </c>
      <c r="DI2" s="30" t="s">
        <v>304</v>
      </c>
      <c r="DJ2" s="30" t="s">
        <v>306</v>
      </c>
      <c r="DK2" s="30" t="s">
        <v>307</v>
      </c>
      <c r="DL2" s="30" t="s">
        <v>308</v>
      </c>
      <c r="DM2" s="30" t="s">
        <v>309</v>
      </c>
      <c r="DN2" s="30" t="s">
        <v>310</v>
      </c>
      <c r="DO2" s="30" t="s">
        <v>311</v>
      </c>
      <c r="DP2" s="30" t="s">
        <v>312</v>
      </c>
      <c r="DQ2" s="30" t="s">
        <v>313</v>
      </c>
      <c r="DR2" s="30" t="s">
        <v>314</v>
      </c>
      <c r="DS2" s="10"/>
      <c r="DT2" s="10"/>
      <c r="DU2" s="10"/>
      <c r="DV2" s="10"/>
      <c r="DW2" s="56"/>
      <c r="DX2" s="57" t="s">
        <v>321</v>
      </c>
      <c r="DY2" s="57" t="s">
        <v>327</v>
      </c>
      <c r="DZ2" s="57" t="s">
        <v>328</v>
      </c>
      <c r="EA2" s="57" t="s">
        <v>329</v>
      </c>
      <c r="EB2" s="58" t="s">
        <v>330</v>
      </c>
      <c r="EC2" s="39"/>
      <c r="ED2" s="59" t="s">
        <v>335</v>
      </c>
      <c r="EE2" s="61" t="s">
        <v>338</v>
      </c>
      <c r="EF2" s="62" t="s">
        <v>342</v>
      </c>
      <c r="EG2" s="62" t="s">
        <v>346</v>
      </c>
      <c r="EH2" s="63" t="s">
        <v>347</v>
      </c>
      <c r="EI2" s="64" t="s">
        <v>352</v>
      </c>
      <c r="EJ2" s="65" t="s">
        <v>356</v>
      </c>
      <c r="EK2" s="64" t="s">
        <v>358</v>
      </c>
      <c r="EL2" s="39"/>
      <c r="EM2" s="67" t="s">
        <v>359</v>
      </c>
      <c r="EN2" s="67" t="s">
        <v>365</v>
      </c>
      <c r="EO2" s="68" t="s">
        <v>366</v>
      </c>
      <c r="EP2" s="70" t="s">
        <v>370</v>
      </c>
      <c r="EQ2" s="64" t="s">
        <v>375</v>
      </c>
      <c r="ER2" s="39"/>
      <c r="ES2" s="71" t="s">
        <v>377</v>
      </c>
      <c r="ET2" s="72" t="s">
        <v>380</v>
      </c>
      <c r="EU2" s="73" t="s">
        <v>385</v>
      </c>
      <c r="EV2" s="74" t="s">
        <v>366</v>
      </c>
      <c r="EW2" s="75" t="s">
        <v>388</v>
      </c>
      <c r="EX2" s="76" t="s">
        <v>391</v>
      </c>
      <c r="EY2" s="77" t="s">
        <v>356</v>
      </c>
      <c r="EZ2" s="76" t="s">
        <v>397</v>
      </c>
      <c r="FA2" s="77" t="s">
        <v>356</v>
      </c>
      <c r="FB2" s="76" t="s">
        <v>398</v>
      </c>
      <c r="FC2" s="77" t="s">
        <v>356</v>
      </c>
      <c r="FD2" s="76" t="s">
        <v>399</v>
      </c>
      <c r="FE2" s="77" t="s">
        <v>356</v>
      </c>
      <c r="FF2" s="76" t="s">
        <v>400</v>
      </c>
      <c r="FG2" s="78" t="s">
        <v>401</v>
      </c>
      <c r="FH2" s="78" t="s">
        <v>404</v>
      </c>
      <c r="FI2" s="39"/>
      <c r="FJ2" s="76" t="s">
        <v>405</v>
      </c>
      <c r="FK2" s="77" t="s">
        <v>356</v>
      </c>
      <c r="FL2" s="76" t="s">
        <v>406</v>
      </c>
      <c r="FM2" s="77" t="s">
        <v>356</v>
      </c>
      <c r="FN2" s="76" t="s">
        <v>407</v>
      </c>
      <c r="FO2" s="77" t="s">
        <v>356</v>
      </c>
      <c r="FP2" s="76" t="s">
        <v>408</v>
      </c>
      <c r="FQ2" s="77" t="s">
        <v>356</v>
      </c>
      <c r="FR2" s="39"/>
      <c r="FS2" s="79" t="s">
        <v>410</v>
      </c>
      <c r="FT2" s="79" t="s">
        <v>411</v>
      </c>
      <c r="FU2" s="59" t="s">
        <v>412</v>
      </c>
      <c r="FV2" s="79" t="s">
        <v>413</v>
      </c>
      <c r="FW2" s="68" t="s">
        <v>366</v>
      </c>
      <c r="FX2" s="70" t="s">
        <v>414</v>
      </c>
      <c r="FY2" s="80" t="s">
        <v>416</v>
      </c>
      <c r="FZ2" s="81" t="s">
        <v>356</v>
      </c>
      <c r="GA2" s="39"/>
      <c r="GB2" s="82" t="s">
        <v>418</v>
      </c>
      <c r="GC2" s="80" t="s">
        <v>420</v>
      </c>
      <c r="GD2" s="83" t="s">
        <v>356</v>
      </c>
      <c r="GE2" s="84" t="s">
        <v>421</v>
      </c>
      <c r="GF2" s="85" t="s">
        <v>356</v>
      </c>
      <c r="GG2" s="85" t="s">
        <v>424</v>
      </c>
      <c r="GH2" s="85" t="s">
        <v>356</v>
      </c>
      <c r="GI2" s="39"/>
      <c r="GJ2" s="47"/>
      <c r="GK2" s="86" t="s">
        <v>366</v>
      </c>
      <c r="GL2" s="48" t="s">
        <v>426</v>
      </c>
    </row>
    <row r="3" ht="15.75" customHeight="1">
      <c r="A3" s="87" t="s">
        <v>427</v>
      </c>
      <c r="B3" s="88">
        <v>1778006.0</v>
      </c>
      <c r="C3" s="87" t="s">
        <v>429</v>
      </c>
      <c r="D3" s="89">
        <v>43649.46388888889</v>
      </c>
      <c r="E3" s="90" t="s">
        <v>386</v>
      </c>
      <c r="F3" s="91" t="s">
        <v>434</v>
      </c>
      <c r="G3" s="91" t="s">
        <v>440</v>
      </c>
      <c r="H3" s="92">
        <v>43641.0</v>
      </c>
      <c r="I3" s="87" t="s">
        <v>443</v>
      </c>
      <c r="J3" s="87" t="s">
        <v>444</v>
      </c>
      <c r="K3" s="90" t="s">
        <v>422</v>
      </c>
      <c r="L3" s="90" t="s">
        <v>80</v>
      </c>
      <c r="M3" s="90" t="s">
        <v>31</v>
      </c>
      <c r="N3" s="90" t="s">
        <v>32</v>
      </c>
      <c r="O3" s="90" t="s">
        <v>35</v>
      </c>
      <c r="P3" s="90"/>
      <c r="Q3" s="90" t="s">
        <v>195</v>
      </c>
      <c r="R3" s="93"/>
      <c r="S3" s="94"/>
      <c r="T3" s="95"/>
      <c r="U3" s="96">
        <v>2500000.0</v>
      </c>
      <c r="V3" s="97">
        <v>0.0</v>
      </c>
      <c r="W3" s="96">
        <f t="shared" ref="W3:W26" si="3">IF(U3 &lt;&gt; 0, U3-(U3*V3), "")</f>
        <v>2500000</v>
      </c>
      <c r="X3" s="98">
        <f t="shared" ref="X3:X26" si="4">max(T3,W3)</f>
        <v>2500000</v>
      </c>
      <c r="Y3" s="99" t="str">
        <f t="shared" ref="Y3:Y26" si="5">IFS(
X3&lt;1000000, "&lt; $1M",
X3&lt;=2000000, "$1M - $2M",
X3&lt;=4000000, "$2M - $4M",
X3&lt;=6000000, "$4M - $6M",
X3&lt;=8000000, "$6M - $8M",
X3&lt;=10000000, "$8M - $10M",
X3&lt;=12000000, "$10M - $12M",
X3&lt;=14000000, "$12M - $14M",
X3&lt;=16000000, "$14M - $16M",
X3&lt;=18000000, "$16M - $18M",
X3&lt;=20000000, "$18M - $20M",
X3&lt;=22000000, "$20M - $22M",
X3&lt;=24000000, "$22M - $24M",
X3&lt;=26000000, "$24M - $26M",
X3&lt;=28000000, "$26M - $28M",
X3&lt;=30000000, "$28M - $30M",
X3&lt;=32000000, "$30M - $32M",
X3&lt;=34000000, "$32M - $34M",
X3&lt;=36000000, "$34M - $36M",
X3&lt;=38000000, "$36M - $38M",
X3&lt;=40000000, "$38M - $40M",
X3&gt;40000000, "&lt; $40M")</f>
        <v>$2M - $4M</v>
      </c>
      <c r="Z3" s="90" t="s">
        <v>36</v>
      </c>
      <c r="AA3" s="90" t="s">
        <v>87</v>
      </c>
      <c r="AB3" s="90" t="s">
        <v>38</v>
      </c>
      <c r="AC3" s="90" t="s">
        <v>469</v>
      </c>
      <c r="AD3" s="100" t="s">
        <v>39</v>
      </c>
      <c r="AE3" s="100" t="s">
        <v>39</v>
      </c>
      <c r="AF3" s="90" t="s">
        <v>469</v>
      </c>
      <c r="AG3" s="101">
        <v>1.6E10</v>
      </c>
      <c r="AH3" s="97" t="str">
        <f t="shared" ref="AH3:AH26" si="6">IFS(
AG3&gt;=1000000000000, "&gt; $1T",
AG3&gt;=500000000000, "$500B-$1T",
AG3&gt;=250000000000, "$250B-$500B",
AG3&gt;=100000000000, "$100B-$250B",
AG3&gt;=50000000000, "$50B-$100B",
AG3&gt;=25000000000, "$25B-$50B",
AG3&gt;=10000000000, "$10B-$25B",
AG3&gt;=5000000000, "$5B-$10B",
AG3&gt;=1000000000, "$1B-$5B",
AG3&gt;=500000000, "$500M-$1B",
AG3&gt;=250000000, "$250M-$500M",
AG3&gt;=100000000, "$100M-$250M",
AG3&gt;=50000000, "$50M-$100M",
AG3&gt;=25000000, "$25M-$50M",
AG3&lt;25000000, "&lt; $25M")</f>
        <v>$10B-$25B</v>
      </c>
      <c r="AI3" s="96">
        <v>1.0E9</v>
      </c>
      <c r="AJ3" s="97" t="str">
        <f t="shared" ref="AJ3:AJ26" si="7">IFS(
AI3&gt;=1000000000000, "&gt; $1T",
AI3&gt;=500000000000, "$500B-$1T",
AI3&gt;=250000000000, "$250B-$500B",
AI3&gt;=100000000000, "$100B-$250B",
AI3&gt;=50000000000, "$50B-$100B",
AI3&gt;=25000000000, "$25B-$50B",
AI3&gt;=10000000000, "$10B-$25B",
AI3&gt;=5000000000, "$5B-$10B",
AI3&gt;=1000000000, "$1B-$5B",
AI3&gt;=500000000, "$500M-$1B",
AI3&gt;=250000000, "$250M-$500M",
AI3&gt;=100000000, "$100M-$250M",
AI3&gt;=50000000, "$50M-$100M",
AI3&gt;=25000000, "$25M-$50M",
AI3&lt;25000000, "&lt; $25M")</f>
        <v>$1B-$5B</v>
      </c>
      <c r="AK3" s="102">
        <v>0.027</v>
      </c>
      <c r="AL3" s="88" t="str">
        <f t="shared" ref="AL3:AL26" si="8">IFS(
AK3&lt;0, "&lt; 0% (Shrinking Market)",
AK3&lt;=0.1, "0%-10%",
AK3&lt;=0.2, "10%-20%",
AK3&lt;=0.3, "20%-30%",
AK3&lt;=0.4, "30%-40%",
AK3&lt;=0.5, "40%-50%",
AK3&gt;0.5, "&gt; 50%")</f>
        <v>0%-10%</v>
      </c>
      <c r="AM3" s="88">
        <v>6.0</v>
      </c>
      <c r="AN3" s="100" t="s">
        <v>39</v>
      </c>
      <c r="AO3" s="90" t="s">
        <v>89</v>
      </c>
      <c r="AP3" s="90" t="s">
        <v>40</v>
      </c>
      <c r="AQ3" s="87" t="s">
        <v>89</v>
      </c>
      <c r="AR3" s="100" t="s">
        <v>39</v>
      </c>
      <c r="AS3" s="90" t="s">
        <v>469</v>
      </c>
      <c r="AT3" s="90" t="s">
        <v>493</v>
      </c>
      <c r="AU3" s="90" t="s">
        <v>469</v>
      </c>
      <c r="AV3" s="90" t="s">
        <v>469</v>
      </c>
      <c r="AW3" s="96">
        <v>0.0</v>
      </c>
      <c r="AX3" s="96" t="str">
        <f t="shared" ref="AX3:AX26" si="9">IFS(
AW3&lt;10000, "&lt; $10K",
AW3&lt;=50000, "$10K - $50K",
AW3&lt;=100000, "$50K - $100K",
AW3&lt;=500000, "$100K - $500K",
AW3&lt;=1000000, "$500K - $1M",
AW3&lt;=2000000, "$1M - $2M",
AW3&lt;=3000000, "$2M - $3M",
AW3&lt;=4000000, "$3M - $4M",
AW3&lt;=5000000, "$4M - $5M",
AW3&gt;5000000, "&gt; $5M")</f>
        <v>&lt; $10K</v>
      </c>
      <c r="AY3" s="96">
        <v>10483.0</v>
      </c>
      <c r="AZ3" s="101">
        <v>0.0</v>
      </c>
      <c r="BA3" s="103" t="str">
        <f t="shared" ref="BA3:BA26" si="10">IFS(
AZ3&lt;10000, "&lt; $10K",
AZ3&lt;=50000, "$10K - $50K",
AZ3&lt;=100000, "$50K - $100K",
AZ3&lt;=500000, "$100K - $500K",
AZ3&lt;=1000000, "$500K - $1M",
AZ3&lt;=2000000, "$1M - $2M",
AZ3&lt;=3000000, "$2M - $3M",
AZ3&lt;=4000000, "$3M - $4M",
AZ3&lt;=5000000, "$4M - $5M",
AZ3&gt;5000000, "&gt; $5M")</f>
        <v>&lt; $10K</v>
      </c>
      <c r="BB3" s="103">
        <f t="shared" ref="BB3:BB26" si="11">IF(OR(AY3=0, AZ3=0), 1, AY3/AZ3)</f>
        <v>1</v>
      </c>
      <c r="BC3" s="103" t="str">
        <f t="shared" ref="BC3:BC26" si="12">IFS(
BB3&lt;0.1, "&lt; 10%",
BB3&lt;=0.2, "10% - 20%",
BB3&lt;=0.3, "20% - 30%",
BB3&lt;=0.4, "30% - 40%",
BB3&lt;=0.5, "40% - 50%",
BB3&lt;=0.6, "50% - 60%",
BB3&lt;=0.7, "60% - 70%",
BB3&lt;=0.8, "70% - 80%",
BB3&lt;=0.9, "80% - 90%",
BB3&gt;0.9, "90% - 100%")</f>
        <v>90% - 100%</v>
      </c>
      <c r="BD3" s="90" t="s">
        <v>91</v>
      </c>
      <c r="BE3" s="90"/>
      <c r="BF3" s="90" t="s">
        <v>469</v>
      </c>
      <c r="BG3" s="88">
        <v>0.0</v>
      </c>
      <c r="BH3" s="88">
        <v>2.0</v>
      </c>
      <c r="BI3" s="90" t="s">
        <v>469</v>
      </c>
      <c r="BJ3" s="90" t="s">
        <v>493</v>
      </c>
      <c r="BK3" s="90" t="s">
        <v>469</v>
      </c>
      <c r="BL3" s="90" t="s">
        <v>469</v>
      </c>
      <c r="BM3" s="88">
        <v>3.0</v>
      </c>
      <c r="BN3" s="88">
        <v>2.0</v>
      </c>
      <c r="BO3" s="88">
        <v>3.0</v>
      </c>
      <c r="BP3" s="88">
        <v>0.0</v>
      </c>
      <c r="BQ3" s="104"/>
      <c r="BR3" s="105">
        <v>9.0</v>
      </c>
      <c r="BS3" s="105">
        <v>0.0</v>
      </c>
      <c r="BT3" s="105">
        <v>0.0</v>
      </c>
      <c r="BU3" s="105">
        <v>50.0</v>
      </c>
      <c r="BV3" s="87" t="s">
        <v>469</v>
      </c>
      <c r="BW3" s="104"/>
      <c r="BX3" s="87"/>
      <c r="BY3" s="87"/>
      <c r="BZ3" s="87"/>
      <c r="CA3" s="87"/>
      <c r="CB3" s="87"/>
      <c r="CC3" s="104"/>
      <c r="CD3" s="87"/>
      <c r="CE3" s="87"/>
      <c r="CF3" s="87"/>
      <c r="CG3" s="87"/>
      <c r="CH3" s="87"/>
      <c r="CI3" s="104"/>
      <c r="CJ3" s="87"/>
      <c r="CK3" s="87"/>
      <c r="CL3" s="87"/>
      <c r="CM3" s="87"/>
      <c r="CN3" s="87"/>
      <c r="CO3" s="104"/>
      <c r="CP3" s="106"/>
      <c r="CQ3" s="106"/>
      <c r="CR3" s="106"/>
      <c r="CS3" s="106"/>
      <c r="CT3" s="106"/>
      <c r="CU3" s="107"/>
      <c r="CV3" s="106"/>
      <c r="CW3" s="106"/>
      <c r="CX3" s="106"/>
      <c r="CY3" s="106"/>
      <c r="CZ3" s="106"/>
      <c r="DA3" s="107"/>
      <c r="DB3" s="106"/>
      <c r="DC3" s="106"/>
      <c r="DD3" s="106"/>
      <c r="DE3" s="106"/>
      <c r="DF3" s="106"/>
      <c r="DG3" s="107"/>
      <c r="DH3" s="106"/>
      <c r="DI3" s="106"/>
      <c r="DJ3" s="106"/>
      <c r="DK3" s="106"/>
      <c r="DL3" s="106"/>
      <c r="DM3" s="107"/>
      <c r="DN3" s="106"/>
      <c r="DO3" s="106"/>
      <c r="DP3" s="106"/>
      <c r="DQ3" s="106"/>
      <c r="DR3" s="106"/>
      <c r="DS3" s="108"/>
      <c r="DT3" s="108"/>
      <c r="DU3" s="108"/>
      <c r="DW3" s="109"/>
      <c r="DX3" s="110">
        <f t="shared" ref="DX3:DX274" si="13">AVERAGE(BR3,BX3,CD3,CJ3,CP3,CV3,DC3,DH3,DN3)</f>
        <v>9</v>
      </c>
      <c r="DY3" s="111">
        <f t="shared" ref="DY3:DZ3" si="1">sum(BS3,BY3,CE3,CK3,CQ3,CW3,DC3,DI3,DO3)</f>
        <v>0</v>
      </c>
      <c r="DZ3" s="111">
        <f t="shared" si="1"/>
        <v>0</v>
      </c>
      <c r="EA3" s="110">
        <f t="shared" ref="EA3:EA274" si="15">AVERAGE(BU3,CA3,CG3,CM3,CS3,CY3,DE3,DK3,DQ3)</f>
        <v>50</v>
      </c>
      <c r="EB3" s="99" t="str">
        <f t="shared" ref="EB3:EB274" si="16">IFS(EA3 &lt;= 34, "20 - 34", EA3 &lt;= 54, "35 - 54", EA3 &gt; 54, "55+") </f>
        <v>35 - 54</v>
      </c>
      <c r="EC3" s="112"/>
      <c r="ED3" s="113">
        <f t="shared" ref="ED3:ED274" si="17">IFS(
Y3= "&lt; $1M",5,
Y3= "$1M - $2M",4.8,
Y3= "$2M - $4M",4.6,
Y3= "$4M - $6M",4.4,
Y3= "$6M - $8M",4.2,
Y3= "$8M - $10M",4,
Y3= "$10M - $12M",3.9,
Y3= "$12M - $14M",3.7,
Y3= "$14M - $16M",3.5,
Y3= "$16M - $18M",3.3,
Y3= "$18M - $20M",3.1,
Y3= "$20M - $22M",2.9,
Y3= "$22M - $24M",2.7,
Y3= "$24M - $26M",2.5,
Y3= "$26M - $28M",2.3,
Y3= "$28M - $30M",2.1,
Y3= "$30M - $32M",2,
Y3= "$32M - $34M",1.8,
Y3= "$34M - $36M",1.6,
Y3= "$36M - $38M",1.4,
Y3= "$38M - $40M",1.2,
Y3= "&lt; $40M",1)</f>
        <v>4.6</v>
      </c>
      <c r="EE3" s="114">
        <f>IF(V3 &lt;&gt; "", 1+((V3-MIN(discount_rates))*(4)/(MAX(discount_rates) - MIN(discount_rates))), "")</f>
        <v>1</v>
      </c>
      <c r="EF3" s="114" t="str">
        <f>IF(Q3="Debt", (1+((S3-MIN(interest_rates))*(4)/(MAX(interest_rates) - MIN(interest_rates)))), "")</f>
        <v/>
      </c>
      <c r="EG3" s="114" t="str">
        <f>IF(OR(Q3="Revenue Share", Q3="Profit Share"), (1+((R3-MIN(return_mutiples))*(4)/(MAX(return_mutiples) - MIN(return_mutiples)))), "")</f>
        <v/>
      </c>
      <c r="EH3" s="115">
        <f t="shared" ref="EH3:EH274" si="18">ED3</f>
        <v>4.6</v>
      </c>
      <c r="EI3" s="116" t="str">
        <f t="shared" ref="EI3:EI274" si="19">Q3</f>
        <v>SAFE</v>
      </c>
      <c r="EJ3" s="117">
        <f t="shared" ref="EJ3:EJ274" si="20">COUNTIF($EI$3:$EI$75, EI3)/(COUNTIF($EI$3:$EI$75, "&lt;&gt;""") - COUNTIF($EI$3:$EI$75, ""))</f>
        <v>0.3561643836</v>
      </c>
      <c r="EK3" s="116" t="str">
        <f t="shared" ref="EK3:EK274" si="21">M3</f>
        <v>Early</v>
      </c>
      <c r="EL3" s="112"/>
      <c r="EM3" s="118">
        <f t="shared" ref="EM3:EM274" si="22">IFS(
AJ3="&gt; $1T", 5, 
AJ3="$500B-$1T", 4.7, 
AJ3="$250B-$500B", 4.4, 
AJ3="$100B-$250B", 4.1, 
AJ3="$50B-$100B", 3.9, 
AJ3="$25B-$50B", 3.6, 
AJ3="$10B-$25B", 3.3, 
AJ3="$5B-$10B", 3, 
AJ3="$1B-$5B", 2.7, 
AJ3="$500M-$1B", 2.4, 
AJ3="$250M-$500M", 2.1, 
AJ3="$100M-$250M", 1.9, 
AJ3="$50M-$100M", 1.6, 
AJ3="$25M-$50M", 1.3, 
AJ3="&lt; $25M", 1)</f>
        <v>2.7</v>
      </c>
      <c r="EN3" s="118">
        <f t="shared" ref="EN3:EN274" si="23">IFS(
AL3= "&lt; 0% (Shrinking Market)",1,
AL3= "0%-10%",1.7,
AL3= "10%-20%",2.3,
AL3= "20%-30%",3,
AL3= "30%-40%",3.7,
AL3= "40%-50%",4.3,
AL3= "&gt; 50%",5)</f>
        <v>1.7</v>
      </c>
      <c r="EO3" s="119">
        <f t="shared" ref="EO3:EO274" si="24">EM3+EN3</f>
        <v>4.4</v>
      </c>
      <c r="EP3" s="115">
        <f>1+((EO3-MIN(market_ratings_sums))*(4)/(MAX(market_ratings_sums) - MIN(market_ratings_sums)))</f>
        <v>2.192982456</v>
      </c>
      <c r="EQ3" s="116" t="str">
        <f t="shared" ref="EQ3:EQ274" si="25">AS3</f>
        <v>No</v>
      </c>
      <c r="ER3" s="112"/>
      <c r="ES3" s="123">
        <f>1+((DX3-MIN(industry_experiences))*(4)/(MAX(industry_experiences) - MIN(industry_experiences)))</f>
        <v>1.857142857</v>
      </c>
      <c r="ET3" s="123">
        <f>1+((DY3-MIN(previous_startups))*(4)/(MAX(previous_startups) - MIN(previous_startups)))</f>
        <v>1</v>
      </c>
      <c r="EU3" s="123">
        <f>1+((DZ3-MIN(exits))*(4)/(MAX(exits) - MIN(exits)))</f>
        <v>1</v>
      </c>
      <c r="EV3" s="119">
        <f t="shared" ref="EV3:EV274" si="26">sum(ES3:EU3)</f>
        <v>3.857142857</v>
      </c>
      <c r="EW3" s="124">
        <f>1+((EV3-MIN(team_ratings_sums))*(4)/(MAX(team_ratings_sums) - MIN(team_ratings_sums)))</f>
        <v>1.469565217</v>
      </c>
      <c r="EX3" s="116" t="str">
        <f t="shared" ref="EX3:EX274" si="27">EB3</f>
        <v>35 - 54</v>
      </c>
      <c r="EY3" s="125">
        <f t="shared" ref="EY3:EY274" si="28">COUNTIF($EX$3:$EX$75, EX3)/(COUNTIF($EX$3:$EX$75, "&lt;&gt;""") - COUNTIF($EX$3:$EX$75, ""))</f>
        <v>0.6849315068</v>
      </c>
      <c r="EZ3" s="116">
        <f t="shared" ref="EZ3:EZ274" si="29">BH3</f>
        <v>2</v>
      </c>
      <c r="FA3" s="125">
        <f t="shared" ref="FA3:FA274" si="30">COUNTIF($EZ$3:$EZ$75, EZ3)/(COUNTIF($EZ$3:$EZ$75, "&lt;&gt;""") - COUNTIF($EZ$3:$EZ$75, ""))</f>
        <v>0.4520547945</v>
      </c>
      <c r="FB3" s="116">
        <f t="shared" ref="FB3:FB274" si="31">BN3</f>
        <v>2</v>
      </c>
      <c r="FC3" s="125">
        <f t="shared" ref="FC3:FC274" si="32">COUNTIF($FB$3:$FB$75, FB3)/(COUNTIF($FB$3:$FB$75, "&lt;&gt;""") - COUNTIF($FB$3:$FB$75, ""))</f>
        <v>0.1369863014</v>
      </c>
      <c r="FD3" s="116" t="str">
        <f t="shared" ref="FD3:FD274" si="33">BI3</f>
        <v>No</v>
      </c>
      <c r="FE3" s="125">
        <f t="shared" ref="FE3:FE274" si="34">COUNTIF($FD$3:$FD$75, FD3)/(COUNTIF($FD$3:$FD$75, "&lt;&gt;""") - COUNTIF($FD$3:$FD$75, ""))</f>
        <v>0.7534246575</v>
      </c>
      <c r="FF3" s="116" t="str">
        <f t="shared" ref="FF3:FH3" si="2">BJ3</f>
        <v>Yes</v>
      </c>
      <c r="FG3" s="116" t="str">
        <f t="shared" si="2"/>
        <v>No</v>
      </c>
      <c r="FH3" s="116" t="str">
        <f t="shared" si="2"/>
        <v>No</v>
      </c>
      <c r="FI3" s="112"/>
      <c r="FJ3" s="116" t="str">
        <f t="shared" ref="FJ3:FJ274" si="36">Z3</f>
        <v>Transactional</v>
      </c>
      <c r="FK3" s="125">
        <f t="shared" ref="FK3:FK274" si="37">COUNTIF($FJ$3:$FJ$75, FJ3)/(COUNTIF($FJ$3:$FJ$75, "&lt;&gt;""") - COUNTIF($FJ$3:$FJ$75, ""))</f>
        <v>0.602739726</v>
      </c>
      <c r="FL3" s="116" t="str">
        <f t="shared" ref="FL3:FL274" si="38">AA3</f>
        <v>B2C</v>
      </c>
      <c r="FM3" s="125">
        <f t="shared" ref="FM3:FM274" si="39">COUNTIF($FL$3:$FL$75, FL3)/(COUNTIF($FL$3:$FL$75, "&lt;&gt;""") - COUNTIF($FL$3:$FL$75, ""))</f>
        <v>0.397260274</v>
      </c>
      <c r="FN3" s="116" t="str">
        <f t="shared" ref="FN3:FN274" si="40">AD3</f>
        <v>High</v>
      </c>
      <c r="FO3" s="125">
        <f t="shared" ref="FO3:FO274" si="41">COUNTIF($FN$3:$FN$75, FN3)/(COUNTIF($FN$3:$FN$75, "&lt;&gt;""") - COUNTIF($FN$3:$FN$75, ""))</f>
        <v>0.5616438356</v>
      </c>
      <c r="FP3" s="116" t="str">
        <f t="shared" ref="FP3:FP274" si="42">AE3</f>
        <v>High</v>
      </c>
      <c r="FQ3" s="125">
        <f t="shared" ref="FQ3:FQ274" si="43">COUNTIF($FP$3:$FP$75, FP3)/(COUNTIF($FP$3:$FP$75, "&lt;&gt;""") - COUNTIF($FP$3:$FP$75, ""))</f>
        <v>0.6438356164</v>
      </c>
      <c r="FR3" s="112"/>
      <c r="FS3" s="123">
        <f t="shared" ref="FS3:FS274" si="44">IF(AV3 = "Yes", 5, IF(AU3 = "Yes", 3,1))</f>
        <v>1</v>
      </c>
      <c r="FT3" s="123">
        <f t="shared" ref="FT3:FT274" si="45">IFS(
AX3= "&lt; $10K",1,
AX3= "$10K - $50K",1.4,
AX3= "$50K - $100K",1.9,
AX3= "$100K - $500K",2.3,
AX3= "$500K - $1M",2.8,
AX3= "$1M - $2M",3.2,
AX3= "$2M - $3M",3.7,
AX3= "$3M - $4M",4.1,
AX3= "$4M - $5M",4.6,
AX3= "&gt; $5M",5)</f>
        <v>1</v>
      </c>
      <c r="FU3" s="123">
        <f t="shared" ref="FU3:FU274" si="46">IFS(
BC3= "&lt; 10%",5,
BC3= "10% - 20%",4.6,
BC3= "20% - 30%",4.1,
BC3= "30% - 40%",3.7,
BC3= "40% - 50%",3.2,
BC3= "50% - 60%",2.8,
BC3= "60% - 70%",2.3,
BC3= "70% - 80%",1.9,
BC3= "80% - 90%",1.4,
BC3= "90% - 100%",1)</f>
        <v>1</v>
      </c>
      <c r="FV3" s="123">
        <f t="shared" ref="FV3:FV274" si="47">IFS(
BA3= "&lt; $10K",5,
BA3= "$10K - $50K",4.6,
BA3= "$50K - $100K",4.1,
BA3= "$100K - $500K",3.7,
BA3= "$500K - $1M",3.2,
BA3= "$1M - $2M",2.8,
BA3= "$2M - $3M",2.3,
BA3= "$3M - $4M",1.9,
BA3= "$4M - $5M",1.4,
BA3= "&gt; $5M",1)</f>
        <v>5</v>
      </c>
      <c r="FW3" s="119">
        <f t="shared" ref="FW3:FW274" si="48">sum(FS3:FV3)</f>
        <v>8</v>
      </c>
      <c r="FX3" s="115">
        <f>1+((FW3-MIN(performance_ratings_sums))*(4)/(MAX(performance_ratings_sums) - MIN(performance_ratings_sums)))</f>
        <v>1.485981308</v>
      </c>
      <c r="FY3" s="116" t="str">
        <f t="shared" ref="FY3:FY274" si="49">BD3</f>
        <v>Pre-Revenue</v>
      </c>
      <c r="FZ3" s="126">
        <f t="shared" ref="FZ3:FZ274" si="50">COUNTIF($FY$3:$FY$75, FY3)/(COUNTIF($FY$3:$FY$75, "&lt;&gt;""") - COUNTIF($GC$3:$GC$75, ""))</f>
        <v>0.2054794521</v>
      </c>
      <c r="GA3" s="112"/>
      <c r="GB3" s="127">
        <f t="shared" ref="GB3:GB274" si="51">IF(AN3 &lt;&gt; AO3, 3, IFS(AND(AN3 = "High", AO3 = "High"), 5, AND(AN3 = "Low", AO3 = "Low"), 1))</f>
        <v>3</v>
      </c>
      <c r="GC3" s="116" t="str">
        <f t="shared" ref="GC3:GC274" si="52">AT3</f>
        <v>Yes</v>
      </c>
      <c r="GD3" s="126">
        <f t="shared" ref="GD3:GD274" si="53">COUNTIF($GC$3:$GC$75, GC3)/(COUNTIF($GC$3:$GC$75, "&lt;&gt;""") - COUNTIF($GC$3:$GC$75, ""))</f>
        <v>0.2328767123</v>
      </c>
      <c r="GE3" s="126" t="str">
        <f t="shared" ref="GE3:GE274" si="54">AQ3</f>
        <v>Low</v>
      </c>
      <c r="GF3" s="126">
        <f t="shared" ref="GF3:GF274" si="55">COUNTIF($GE$3:$GE$75, GE3)/(COUNTIF($GE$3:$GE$75, "&lt;&gt;""") - COUNTIF($GE$3:$GE$75, ""))</f>
        <v>0.5479452055</v>
      </c>
      <c r="GG3" s="126" t="str">
        <f t="shared" ref="GG3:GG274" si="56">AR3</f>
        <v>High</v>
      </c>
      <c r="GH3" s="126">
        <f t="shared" ref="GH3:GH274" si="57">COUNTIF($GG$3:$GG$75, GG3)/(COUNTIF($GG$3:$GG$75, "&lt;&gt;""") - COUNTIF($GG$3:$GG$75, ""))</f>
        <v>0.8082191781</v>
      </c>
      <c r="GI3" s="112"/>
      <c r="GJ3" s="116"/>
      <c r="GK3" s="119">
        <f t="shared" ref="GK3:GK274" si="58">SUM(EH3,EP3,EW3,FX3,GB3)</f>
        <v>12.74852898</v>
      </c>
      <c r="GL3" s="128">
        <f>1+((GK3-MIN(ratings_sums))*(4)/(MAX(ratings_sums) - MIN(ratings_sums)))</f>
        <v>2.704354419</v>
      </c>
    </row>
    <row r="4" ht="15.75" customHeight="1">
      <c r="A4" s="87" t="s">
        <v>427</v>
      </c>
      <c r="B4" s="88">
        <v>1720258.0</v>
      </c>
      <c r="C4" s="87" t="s">
        <v>563</v>
      </c>
      <c r="D4" s="89">
        <v>43650.37152777778</v>
      </c>
      <c r="E4" s="90" t="s">
        <v>381</v>
      </c>
      <c r="F4" s="91" t="s">
        <v>564</v>
      </c>
      <c r="G4" s="91" t="s">
        <v>565</v>
      </c>
      <c r="H4" s="92">
        <v>43649.0</v>
      </c>
      <c r="I4" s="87" t="s">
        <v>563</v>
      </c>
      <c r="J4" s="87" t="s">
        <v>563</v>
      </c>
      <c r="K4" s="90" t="s">
        <v>422</v>
      </c>
      <c r="L4" s="90" t="s">
        <v>117</v>
      </c>
      <c r="M4" s="90" t="s">
        <v>31</v>
      </c>
      <c r="N4" s="90" t="s">
        <v>32</v>
      </c>
      <c r="O4" s="90" t="s">
        <v>35</v>
      </c>
      <c r="P4" s="90"/>
      <c r="Q4" s="90" t="s">
        <v>121</v>
      </c>
      <c r="R4" s="93"/>
      <c r="S4" s="94"/>
      <c r="T4" s="96">
        <v>2.81E7</v>
      </c>
      <c r="U4" s="95"/>
      <c r="V4" s="129"/>
      <c r="W4" s="96" t="str">
        <f t="shared" si="3"/>
        <v/>
      </c>
      <c r="X4" s="98">
        <f t="shared" si="4"/>
        <v>28100000</v>
      </c>
      <c r="Y4" s="99" t="str">
        <f t="shared" si="5"/>
        <v>$28M - $30M</v>
      </c>
      <c r="Z4" s="90" t="s">
        <v>36</v>
      </c>
      <c r="AA4" s="90" t="s">
        <v>87</v>
      </c>
      <c r="AB4" s="90" t="s">
        <v>38</v>
      </c>
      <c r="AC4" s="90" t="s">
        <v>469</v>
      </c>
      <c r="AD4" s="100" t="s">
        <v>39</v>
      </c>
      <c r="AE4" s="100" t="s">
        <v>39</v>
      </c>
      <c r="AF4" s="90" t="s">
        <v>493</v>
      </c>
      <c r="AG4" s="101">
        <v>8.0E9</v>
      </c>
      <c r="AH4" s="97" t="str">
        <f t="shared" si="6"/>
        <v>$5B-$10B</v>
      </c>
      <c r="AI4" s="96">
        <v>4.0E8</v>
      </c>
      <c r="AJ4" s="97" t="str">
        <f t="shared" si="7"/>
        <v>$250M-$500M</v>
      </c>
      <c r="AK4" s="102">
        <v>0.38</v>
      </c>
      <c r="AL4" s="88" t="str">
        <f t="shared" si="8"/>
        <v>30%-40%</v>
      </c>
      <c r="AM4" s="88">
        <v>10.0</v>
      </c>
      <c r="AN4" s="100" t="s">
        <v>39</v>
      </c>
      <c r="AO4" s="90" t="s">
        <v>89</v>
      </c>
      <c r="AP4" s="90" t="s">
        <v>40</v>
      </c>
      <c r="AQ4" s="100" t="s">
        <v>39</v>
      </c>
      <c r="AR4" s="100" t="s">
        <v>39</v>
      </c>
      <c r="AS4" s="90" t="s">
        <v>493</v>
      </c>
      <c r="AT4" s="90" t="s">
        <v>469</v>
      </c>
      <c r="AU4" s="90" t="s">
        <v>469</v>
      </c>
      <c r="AV4" s="90" t="s">
        <v>469</v>
      </c>
      <c r="AW4" s="96">
        <v>0.0</v>
      </c>
      <c r="AX4" s="96" t="str">
        <f t="shared" si="9"/>
        <v>&lt; $10K</v>
      </c>
      <c r="AY4" s="96">
        <v>40745.0</v>
      </c>
      <c r="AZ4" s="101">
        <v>659800.0</v>
      </c>
      <c r="BA4" s="103" t="str">
        <f t="shared" si="10"/>
        <v>$500K - $1M</v>
      </c>
      <c r="BB4" s="103">
        <f t="shared" si="11"/>
        <v>0.06175356169</v>
      </c>
      <c r="BC4" s="103" t="str">
        <f t="shared" si="12"/>
        <v>&lt; 10%</v>
      </c>
      <c r="BD4" s="90" t="s">
        <v>91</v>
      </c>
      <c r="BE4" s="90"/>
      <c r="BF4" s="90" t="s">
        <v>493</v>
      </c>
      <c r="BG4" s="88">
        <v>2.0</v>
      </c>
      <c r="BH4" s="88">
        <v>2.0</v>
      </c>
      <c r="BI4" s="90" t="s">
        <v>493</v>
      </c>
      <c r="BJ4" s="90" t="s">
        <v>469</v>
      </c>
      <c r="BK4" s="90" t="s">
        <v>469</v>
      </c>
      <c r="BL4" s="90" t="s">
        <v>469</v>
      </c>
      <c r="BM4" s="88">
        <v>5.0</v>
      </c>
      <c r="BN4" s="88">
        <v>4.0</v>
      </c>
      <c r="BO4" s="88">
        <v>7.0</v>
      </c>
      <c r="BP4" s="88">
        <v>0.0</v>
      </c>
      <c r="BQ4" s="104"/>
      <c r="BR4" s="105">
        <v>1.0</v>
      </c>
      <c r="BS4" s="105">
        <v>0.0</v>
      </c>
      <c r="BT4" s="105">
        <v>0.0</v>
      </c>
      <c r="BU4" s="105">
        <v>53.0</v>
      </c>
      <c r="BV4" s="87" t="s">
        <v>469</v>
      </c>
      <c r="BW4" s="104"/>
      <c r="BX4" s="105">
        <v>15.0</v>
      </c>
      <c r="BY4" s="105">
        <v>2.0</v>
      </c>
      <c r="BZ4" s="105">
        <v>2.0</v>
      </c>
      <c r="CA4" s="105">
        <v>50.0</v>
      </c>
      <c r="CB4" s="87" t="s">
        <v>469</v>
      </c>
      <c r="CC4" s="104"/>
      <c r="CD4" s="87"/>
      <c r="CE4" s="87"/>
      <c r="CF4" s="87"/>
      <c r="CG4" s="87"/>
      <c r="CH4" s="87"/>
      <c r="CI4" s="104"/>
      <c r="CJ4" s="87"/>
      <c r="CK4" s="87"/>
      <c r="CL4" s="87"/>
      <c r="CM4" s="87"/>
      <c r="CN4" s="87"/>
      <c r="CO4" s="104"/>
      <c r="CP4" s="105"/>
      <c r="CQ4" s="105"/>
      <c r="CR4" s="105"/>
      <c r="CS4" s="105"/>
      <c r="CT4" s="87"/>
      <c r="CU4" s="104"/>
      <c r="CV4" s="105"/>
      <c r="CW4" s="105"/>
      <c r="CX4" s="105"/>
      <c r="CY4" s="105"/>
      <c r="CZ4" s="87"/>
      <c r="DA4" s="104"/>
      <c r="DB4" s="105"/>
      <c r="DC4" s="105"/>
      <c r="DD4" s="105"/>
      <c r="DE4" s="105"/>
      <c r="DF4" s="87"/>
      <c r="DG4" s="104"/>
      <c r="DH4" s="105"/>
      <c r="DI4" s="105"/>
      <c r="DJ4" s="105"/>
      <c r="DK4" s="105"/>
      <c r="DL4" s="87"/>
      <c r="DM4" s="104"/>
      <c r="DN4" s="105"/>
      <c r="DO4" s="105"/>
      <c r="DP4" s="105"/>
      <c r="DQ4" s="105"/>
      <c r="DR4" s="87"/>
      <c r="DS4" s="130"/>
      <c r="DT4" s="108"/>
      <c r="DU4" s="108"/>
      <c r="DW4" s="109"/>
      <c r="DX4" s="110">
        <f t="shared" si="13"/>
        <v>8</v>
      </c>
      <c r="DY4" s="111">
        <f t="shared" ref="DY4:DZ4" si="14">sum(BS4,BY4,CE4,CK4,CQ4,CW4,DC4,DI4,DO4)</f>
        <v>2</v>
      </c>
      <c r="DZ4" s="111">
        <f t="shared" si="14"/>
        <v>2</v>
      </c>
      <c r="EA4" s="110">
        <f t="shared" si="15"/>
        <v>51.5</v>
      </c>
      <c r="EB4" s="99" t="str">
        <f t="shared" si="16"/>
        <v>35 - 54</v>
      </c>
      <c r="EC4" s="112"/>
      <c r="ED4" s="113">
        <f t="shared" si="17"/>
        <v>2.1</v>
      </c>
      <c r="EE4" s="114" t="str">
        <f>IF(V4 &lt;&gt; "", 1+((V4-MIN(discount_rates))*(4)/(MAX(discount_rates) - MIN(discount_rates))), "")</f>
        <v/>
      </c>
      <c r="EF4" s="114" t="str">
        <f>IF(Q4="Debt", (1+((S4-MIN(interest_rates))*(4)/(MAX(interest_rates) - MIN(interest_rates)))), "")</f>
        <v/>
      </c>
      <c r="EG4" s="114" t="str">
        <f>IF(OR(Q4="Revenue Share", Q4="Profit Share"), (1+((R4-MIN(return_mutiples))*(4)/(MAX(return_mutiples) - MIN(return_mutiples)))), "")</f>
        <v/>
      </c>
      <c r="EH4" s="115">
        <f t="shared" si="18"/>
        <v>2.1</v>
      </c>
      <c r="EI4" s="116" t="str">
        <f t="shared" si="19"/>
        <v>Equity - Common</v>
      </c>
      <c r="EJ4" s="117">
        <f t="shared" si="20"/>
        <v>0.3287671233</v>
      </c>
      <c r="EK4" s="116" t="str">
        <f t="shared" si="21"/>
        <v>Early</v>
      </c>
      <c r="EL4" s="112"/>
      <c r="EM4" s="118">
        <f t="shared" si="22"/>
        <v>2.1</v>
      </c>
      <c r="EN4" s="118">
        <f t="shared" si="23"/>
        <v>3.7</v>
      </c>
      <c r="EO4" s="119">
        <f t="shared" si="24"/>
        <v>5.8</v>
      </c>
      <c r="EP4" s="115">
        <f>1+((EO4-MIN(market_ratings_sums))*(4)/(MAX(market_ratings_sums) - MIN(market_ratings_sums)))</f>
        <v>3.175438596</v>
      </c>
      <c r="EQ4" s="116" t="str">
        <f t="shared" si="25"/>
        <v>Yes</v>
      </c>
      <c r="ER4" s="112"/>
      <c r="ES4" s="123">
        <f>1+((DX4-MIN(industry_experiences))*(4)/(MAX(industry_experiences) - MIN(industry_experiences)))</f>
        <v>1.761904762</v>
      </c>
      <c r="ET4" s="123">
        <f>1+((DY4-MIN(previous_startups))*(4)/(MAX(previous_startups) - MIN(previous_startups)))</f>
        <v>1.888888889</v>
      </c>
      <c r="EU4" s="123">
        <f>1+((DZ4-MIN(exits))*(4)/(MAX(exits) - MIN(exits)))</f>
        <v>3</v>
      </c>
      <c r="EV4" s="119">
        <f t="shared" si="26"/>
        <v>6.650793651</v>
      </c>
      <c r="EW4" s="124">
        <f>1+((EV4-MIN(team_ratings_sums))*(4)/(MAX(team_ratings_sums) - MIN(team_ratings_sums)))</f>
        <v>3</v>
      </c>
      <c r="EX4" s="116" t="str">
        <f t="shared" si="27"/>
        <v>35 - 54</v>
      </c>
      <c r="EY4" s="125">
        <f t="shared" si="28"/>
        <v>0.6849315068</v>
      </c>
      <c r="EZ4" s="116">
        <f t="shared" si="29"/>
        <v>2</v>
      </c>
      <c r="FA4" s="125">
        <f t="shared" si="30"/>
        <v>0.4520547945</v>
      </c>
      <c r="FB4" s="116">
        <f t="shared" si="31"/>
        <v>4</v>
      </c>
      <c r="FC4" s="125">
        <f t="shared" si="32"/>
        <v>0.1369863014</v>
      </c>
      <c r="FD4" s="116" t="str">
        <f t="shared" si="33"/>
        <v>Yes</v>
      </c>
      <c r="FE4" s="125">
        <f t="shared" si="34"/>
        <v>0.2465753425</v>
      </c>
      <c r="FF4" s="116" t="str">
        <f t="shared" ref="FF4:FH4" si="35">BJ4</f>
        <v>No</v>
      </c>
      <c r="FG4" s="116" t="str">
        <f t="shared" si="35"/>
        <v>No</v>
      </c>
      <c r="FH4" s="116" t="str">
        <f t="shared" si="35"/>
        <v>No</v>
      </c>
      <c r="FI4" s="112"/>
      <c r="FJ4" s="116" t="str">
        <f t="shared" si="36"/>
        <v>Transactional</v>
      </c>
      <c r="FK4" s="125">
        <f t="shared" si="37"/>
        <v>0.602739726</v>
      </c>
      <c r="FL4" s="116" t="str">
        <f t="shared" si="38"/>
        <v>B2C</v>
      </c>
      <c r="FM4" s="125">
        <f t="shared" si="39"/>
        <v>0.397260274</v>
      </c>
      <c r="FN4" s="116" t="str">
        <f t="shared" si="40"/>
        <v>High</v>
      </c>
      <c r="FO4" s="125">
        <f t="shared" si="41"/>
        <v>0.5616438356</v>
      </c>
      <c r="FP4" s="116" t="str">
        <f t="shared" si="42"/>
        <v>High</v>
      </c>
      <c r="FQ4" s="125">
        <f t="shared" si="43"/>
        <v>0.6438356164</v>
      </c>
      <c r="FR4" s="112"/>
      <c r="FS4" s="123">
        <f t="shared" si="44"/>
        <v>1</v>
      </c>
      <c r="FT4" s="123">
        <f t="shared" si="45"/>
        <v>1</v>
      </c>
      <c r="FU4" s="123">
        <f t="shared" si="46"/>
        <v>5</v>
      </c>
      <c r="FV4" s="123">
        <f t="shared" si="47"/>
        <v>3.2</v>
      </c>
      <c r="FW4" s="119">
        <f t="shared" si="48"/>
        <v>10.2</v>
      </c>
      <c r="FX4" s="115">
        <f>1+((FW4-MIN(performance_ratings_sums))*(4)/(MAX(performance_ratings_sums) - MIN(performance_ratings_sums)))</f>
        <v>2.308411215</v>
      </c>
      <c r="FY4" s="116" t="str">
        <f t="shared" si="49"/>
        <v>Pre-Revenue</v>
      </c>
      <c r="FZ4" s="126">
        <f t="shared" si="50"/>
        <v>0.2054794521</v>
      </c>
      <c r="GA4" s="112"/>
      <c r="GB4" s="127">
        <f t="shared" si="51"/>
        <v>3</v>
      </c>
      <c r="GC4" s="116" t="str">
        <f t="shared" si="52"/>
        <v>No</v>
      </c>
      <c r="GD4" s="126">
        <f t="shared" si="53"/>
        <v>0.7671232877</v>
      </c>
      <c r="GE4" s="126" t="str">
        <f t="shared" si="54"/>
        <v>High</v>
      </c>
      <c r="GF4" s="126">
        <f t="shared" si="55"/>
        <v>0.4520547945</v>
      </c>
      <c r="GG4" s="126" t="str">
        <f t="shared" si="56"/>
        <v>High</v>
      </c>
      <c r="GH4" s="126">
        <f t="shared" si="57"/>
        <v>0.8082191781</v>
      </c>
      <c r="GI4" s="112"/>
      <c r="GJ4" s="116"/>
      <c r="GK4" s="119">
        <f t="shared" si="58"/>
        <v>13.58384981</v>
      </c>
      <c r="GL4" s="128">
        <f>1+((GK4-MIN(ratings_sums))*(4)/(MAX(ratings_sums) - MIN(ratings_sums)))</f>
        <v>2.960664235</v>
      </c>
    </row>
    <row r="5" ht="15.75" customHeight="1">
      <c r="A5" s="87" t="s">
        <v>427</v>
      </c>
      <c r="B5" s="88">
        <v>1753677.0</v>
      </c>
      <c r="C5" s="87" t="s">
        <v>566</v>
      </c>
      <c r="D5" s="89">
        <v>43657.611805555556</v>
      </c>
      <c r="E5" s="90" t="s">
        <v>363</v>
      </c>
      <c r="F5" s="91" t="s">
        <v>567</v>
      </c>
      <c r="G5" s="91" t="s">
        <v>568</v>
      </c>
      <c r="H5" s="131">
        <v>43377.0</v>
      </c>
      <c r="I5" s="87" t="s">
        <v>569</v>
      </c>
      <c r="J5" s="87" t="s">
        <v>570</v>
      </c>
      <c r="K5" s="90" t="s">
        <v>442</v>
      </c>
      <c r="L5" s="90" t="s">
        <v>80</v>
      </c>
      <c r="M5" s="90" t="s">
        <v>31</v>
      </c>
      <c r="N5" s="90" t="s">
        <v>32</v>
      </c>
      <c r="O5" s="90" t="s">
        <v>35</v>
      </c>
      <c r="P5" s="90"/>
      <c r="Q5" s="90" t="s">
        <v>34</v>
      </c>
      <c r="R5" s="93"/>
      <c r="S5" s="94"/>
      <c r="T5" s="95"/>
      <c r="U5" s="96">
        <v>400000.0</v>
      </c>
      <c r="V5" s="132">
        <v>0.0</v>
      </c>
      <c r="W5" s="96">
        <f t="shared" si="3"/>
        <v>400000</v>
      </c>
      <c r="X5" s="98">
        <f t="shared" si="4"/>
        <v>400000</v>
      </c>
      <c r="Y5" s="99" t="str">
        <f t="shared" si="5"/>
        <v>&lt; $1M</v>
      </c>
      <c r="Z5" s="90" t="s">
        <v>36</v>
      </c>
      <c r="AA5" s="90" t="s">
        <v>87</v>
      </c>
      <c r="AB5" s="90" t="s">
        <v>38</v>
      </c>
      <c r="AC5" s="90" t="s">
        <v>469</v>
      </c>
      <c r="AD5" s="100" t="s">
        <v>39</v>
      </c>
      <c r="AE5" s="100" t="s">
        <v>39</v>
      </c>
      <c r="AF5" s="90" t="s">
        <v>469</v>
      </c>
      <c r="AG5" s="101">
        <v>5.8E9</v>
      </c>
      <c r="AH5" s="97" t="str">
        <f t="shared" si="6"/>
        <v>$5B-$10B</v>
      </c>
      <c r="AI5" s="96">
        <v>1.2E9</v>
      </c>
      <c r="AJ5" s="97" t="str">
        <f t="shared" si="7"/>
        <v>$1B-$5B</v>
      </c>
      <c r="AK5" s="102">
        <v>0.314</v>
      </c>
      <c r="AL5" s="88" t="str">
        <f t="shared" si="8"/>
        <v>30%-40%</v>
      </c>
      <c r="AM5" s="88">
        <v>7.0</v>
      </c>
      <c r="AN5" s="90" t="s">
        <v>89</v>
      </c>
      <c r="AO5" s="100" t="s">
        <v>39</v>
      </c>
      <c r="AP5" s="90" t="s">
        <v>40</v>
      </c>
      <c r="AQ5" s="87" t="s">
        <v>89</v>
      </c>
      <c r="AR5" s="100" t="s">
        <v>39</v>
      </c>
      <c r="AS5" s="90" t="s">
        <v>469</v>
      </c>
      <c r="AT5" s="90" t="s">
        <v>469</v>
      </c>
      <c r="AU5" s="90" t="s">
        <v>469</v>
      </c>
      <c r="AV5" s="90" t="s">
        <v>469</v>
      </c>
      <c r="AW5" s="96">
        <v>0.0</v>
      </c>
      <c r="AX5" s="96" t="str">
        <f t="shared" si="9"/>
        <v>&lt; $10K</v>
      </c>
      <c r="AY5" s="96">
        <v>0.0</v>
      </c>
      <c r="AZ5" s="101">
        <v>0.0</v>
      </c>
      <c r="BA5" s="103" t="str">
        <f t="shared" si="10"/>
        <v>&lt; $10K</v>
      </c>
      <c r="BB5" s="103">
        <f t="shared" si="11"/>
        <v>1</v>
      </c>
      <c r="BC5" s="103" t="str">
        <f t="shared" si="12"/>
        <v>90% - 100%</v>
      </c>
      <c r="BD5" s="90" t="s">
        <v>41</v>
      </c>
      <c r="BE5" s="90"/>
      <c r="BF5" s="90" t="s">
        <v>469</v>
      </c>
      <c r="BG5" s="88">
        <v>0.0</v>
      </c>
      <c r="BH5" s="88">
        <v>1.0</v>
      </c>
      <c r="BI5" s="90" t="s">
        <v>469</v>
      </c>
      <c r="BJ5" s="90" t="s">
        <v>469</v>
      </c>
      <c r="BK5" s="90" t="s">
        <v>469</v>
      </c>
      <c r="BL5" s="90" t="s">
        <v>469</v>
      </c>
      <c r="BM5" s="88">
        <v>0.0</v>
      </c>
      <c r="BN5" s="88">
        <v>1.0</v>
      </c>
      <c r="BO5" s="88">
        <v>0.0</v>
      </c>
      <c r="BP5" s="88">
        <v>0.0</v>
      </c>
      <c r="BQ5" s="104"/>
      <c r="BR5" s="105">
        <v>0.0</v>
      </c>
      <c r="BS5" s="105">
        <v>0.0</v>
      </c>
      <c r="BT5" s="105">
        <v>0.0</v>
      </c>
      <c r="BU5" s="105">
        <v>45.0</v>
      </c>
      <c r="BV5" s="87" t="s">
        <v>469</v>
      </c>
      <c r="BW5" s="104"/>
      <c r="BX5" s="87"/>
      <c r="BY5" s="87"/>
      <c r="BZ5" s="87"/>
      <c r="CA5" s="87"/>
      <c r="CB5" s="87"/>
      <c r="CC5" s="104"/>
      <c r="CD5" s="87"/>
      <c r="CE5" s="87"/>
      <c r="CF5" s="87"/>
      <c r="CG5" s="87"/>
      <c r="CH5" s="87"/>
      <c r="CI5" s="104"/>
      <c r="CJ5" s="87"/>
      <c r="CK5" s="87"/>
      <c r="CL5" s="87"/>
      <c r="CM5" s="87"/>
      <c r="CN5" s="87"/>
      <c r="CO5" s="104"/>
      <c r="CP5" s="87"/>
      <c r="CQ5" s="87"/>
      <c r="CR5" s="87"/>
      <c r="CS5" s="87"/>
      <c r="CT5" s="87"/>
      <c r="CU5" s="104"/>
      <c r="CV5" s="87"/>
      <c r="CW5" s="87"/>
      <c r="CX5" s="87"/>
      <c r="CY5" s="87"/>
      <c r="CZ5" s="87"/>
      <c r="DA5" s="104"/>
      <c r="DB5" s="87"/>
      <c r="DC5" s="87"/>
      <c r="DD5" s="87"/>
      <c r="DE5" s="87"/>
      <c r="DF5" s="87"/>
      <c r="DG5" s="104"/>
      <c r="DH5" s="87"/>
      <c r="DI5" s="87"/>
      <c r="DJ5" s="87"/>
      <c r="DK5" s="87"/>
      <c r="DL5" s="87"/>
      <c r="DM5" s="104"/>
      <c r="DN5" s="87"/>
      <c r="DO5" s="87"/>
      <c r="DP5" s="87"/>
      <c r="DQ5" s="87"/>
      <c r="DR5" s="87"/>
      <c r="DS5" s="130"/>
      <c r="DT5" s="108"/>
      <c r="DU5" s="108"/>
      <c r="DW5" s="109"/>
      <c r="DX5" s="110">
        <f t="shared" si="13"/>
        <v>0</v>
      </c>
      <c r="DY5" s="111">
        <f t="shared" ref="DY5:DZ5" si="59">sum(BS5,BY5,CE5,CK5,CQ5,CW5,DC5,DI5,DO5)</f>
        <v>0</v>
      </c>
      <c r="DZ5" s="111">
        <f t="shared" si="59"/>
        <v>0</v>
      </c>
      <c r="EA5" s="110">
        <f t="shared" si="15"/>
        <v>45</v>
      </c>
      <c r="EB5" s="99" t="str">
        <f t="shared" si="16"/>
        <v>35 - 54</v>
      </c>
      <c r="EC5" s="112"/>
      <c r="ED5" s="113">
        <f t="shared" si="17"/>
        <v>5</v>
      </c>
      <c r="EE5" s="114">
        <f>IF(V5 &lt;&gt; "", 1+((V5-MIN(discount_rates))*(4)/(MAX(discount_rates) - MIN(discount_rates))), "")</f>
        <v>1</v>
      </c>
      <c r="EF5" s="114" t="str">
        <f>IF(Q5="Debt", (1+((S5-MIN(interest_rates))*(4)/(MAX(interest_rates) - MIN(interest_rates)))), "")</f>
        <v/>
      </c>
      <c r="EG5" s="114" t="str">
        <f>IF(OR(Q5="Revenue Share", Q5="Profit Share"), (1+((R5-MIN(return_mutiples))*(4)/(MAX(return_mutiples) - MIN(return_mutiples)))), "")</f>
        <v/>
      </c>
      <c r="EH5" s="115">
        <f t="shared" si="18"/>
        <v>5</v>
      </c>
      <c r="EI5" s="116" t="str">
        <f t="shared" si="19"/>
        <v>CAFES</v>
      </c>
      <c r="EJ5" s="117">
        <f t="shared" si="20"/>
        <v>0.1232876712</v>
      </c>
      <c r="EK5" s="116" t="str">
        <f t="shared" si="21"/>
        <v>Early</v>
      </c>
      <c r="EL5" s="112"/>
      <c r="EM5" s="118">
        <f t="shared" si="22"/>
        <v>2.7</v>
      </c>
      <c r="EN5" s="118">
        <f t="shared" si="23"/>
        <v>3.7</v>
      </c>
      <c r="EO5" s="119">
        <f t="shared" si="24"/>
        <v>6.4</v>
      </c>
      <c r="EP5" s="115">
        <f>1+((EO5-MIN(market_ratings_sums))*(4)/(MAX(market_ratings_sums) - MIN(market_ratings_sums)))</f>
        <v>3.596491228</v>
      </c>
      <c r="EQ5" s="116" t="str">
        <f t="shared" si="25"/>
        <v>No</v>
      </c>
      <c r="ER5" s="112"/>
      <c r="ES5" s="123">
        <f>1+((DX5-MIN(industry_experiences))*(4)/(MAX(industry_experiences) - MIN(industry_experiences)))</f>
        <v>1</v>
      </c>
      <c r="ET5" s="123">
        <f>1+((DY5-MIN(previous_startups))*(4)/(MAX(previous_startups) - MIN(previous_startups)))</f>
        <v>1</v>
      </c>
      <c r="EU5" s="123">
        <f>1+((DZ5-MIN(exits))*(4)/(MAX(exits) - MIN(exits)))</f>
        <v>1</v>
      </c>
      <c r="EV5" s="119">
        <f t="shared" si="26"/>
        <v>3</v>
      </c>
      <c r="EW5" s="124">
        <f>1+((EV5-MIN(team_ratings_sums))*(4)/(MAX(team_ratings_sums) - MIN(team_ratings_sums)))</f>
        <v>1</v>
      </c>
      <c r="EX5" s="116" t="str">
        <f t="shared" si="27"/>
        <v>35 - 54</v>
      </c>
      <c r="EY5" s="125">
        <f t="shared" si="28"/>
        <v>0.6849315068</v>
      </c>
      <c r="EZ5" s="116">
        <f t="shared" si="29"/>
        <v>1</v>
      </c>
      <c r="FA5" s="125">
        <f t="shared" si="30"/>
        <v>0.4383561644</v>
      </c>
      <c r="FB5" s="116">
        <f t="shared" si="31"/>
        <v>1</v>
      </c>
      <c r="FC5" s="125">
        <f t="shared" si="32"/>
        <v>0.08219178082</v>
      </c>
      <c r="FD5" s="116" t="str">
        <f t="shared" si="33"/>
        <v>No</v>
      </c>
      <c r="FE5" s="125">
        <f t="shared" si="34"/>
        <v>0.7534246575</v>
      </c>
      <c r="FF5" s="116" t="str">
        <f t="shared" ref="FF5:FH5" si="60">BJ5</f>
        <v>No</v>
      </c>
      <c r="FG5" s="116" t="str">
        <f t="shared" si="60"/>
        <v>No</v>
      </c>
      <c r="FH5" s="116" t="str">
        <f t="shared" si="60"/>
        <v>No</v>
      </c>
      <c r="FI5" s="112"/>
      <c r="FJ5" s="116" t="str">
        <f t="shared" si="36"/>
        <v>Transactional</v>
      </c>
      <c r="FK5" s="125">
        <f t="shared" si="37"/>
        <v>0.602739726</v>
      </c>
      <c r="FL5" s="116" t="str">
        <f t="shared" si="38"/>
        <v>B2C</v>
      </c>
      <c r="FM5" s="125">
        <f t="shared" si="39"/>
        <v>0.397260274</v>
      </c>
      <c r="FN5" s="116" t="str">
        <f t="shared" si="40"/>
        <v>High</v>
      </c>
      <c r="FO5" s="125">
        <f t="shared" si="41"/>
        <v>0.5616438356</v>
      </c>
      <c r="FP5" s="116" t="str">
        <f t="shared" si="42"/>
        <v>High</v>
      </c>
      <c r="FQ5" s="125">
        <f t="shared" si="43"/>
        <v>0.6438356164</v>
      </c>
      <c r="FR5" s="112"/>
      <c r="FS5" s="123">
        <f t="shared" si="44"/>
        <v>1</v>
      </c>
      <c r="FT5" s="123">
        <f t="shared" si="45"/>
        <v>1</v>
      </c>
      <c r="FU5" s="123">
        <f t="shared" si="46"/>
        <v>1</v>
      </c>
      <c r="FV5" s="123">
        <f t="shared" si="47"/>
        <v>5</v>
      </c>
      <c r="FW5" s="119">
        <f t="shared" si="48"/>
        <v>8</v>
      </c>
      <c r="FX5" s="115">
        <f>1+((FW5-MIN(performance_ratings_sums))*(4)/(MAX(performance_ratings_sums) - MIN(performance_ratings_sums)))</f>
        <v>1.485981308</v>
      </c>
      <c r="FY5" s="116" t="str">
        <f t="shared" si="49"/>
        <v>Pre-Product</v>
      </c>
      <c r="FZ5" s="126">
        <f t="shared" si="50"/>
        <v>0.2328767123</v>
      </c>
      <c r="GA5" s="112"/>
      <c r="GB5" s="127">
        <f t="shared" si="51"/>
        <v>3</v>
      </c>
      <c r="GC5" s="116" t="str">
        <f t="shared" si="52"/>
        <v>No</v>
      </c>
      <c r="GD5" s="126">
        <f t="shared" si="53"/>
        <v>0.7671232877</v>
      </c>
      <c r="GE5" s="126" t="str">
        <f t="shared" si="54"/>
        <v>Low</v>
      </c>
      <c r="GF5" s="126">
        <f t="shared" si="55"/>
        <v>0.5479452055</v>
      </c>
      <c r="GG5" s="126" t="str">
        <f t="shared" si="56"/>
        <v>High</v>
      </c>
      <c r="GH5" s="126">
        <f t="shared" si="57"/>
        <v>0.8082191781</v>
      </c>
      <c r="GI5" s="112"/>
      <c r="GJ5" s="116"/>
      <c r="GK5" s="119">
        <f t="shared" si="58"/>
        <v>14.08247254</v>
      </c>
      <c r="GL5" s="128">
        <f>1+((GK5-MIN(ratings_sums))*(4)/(MAX(ratings_sums) - MIN(ratings_sums)))</f>
        <v>3.113661616</v>
      </c>
    </row>
    <row r="6" ht="15.75" customHeight="1">
      <c r="A6" s="87" t="s">
        <v>427</v>
      </c>
      <c r="B6" s="88">
        <v>1765620.0</v>
      </c>
      <c r="C6" s="87" t="s">
        <v>571</v>
      </c>
      <c r="D6" s="89">
        <v>43659.42638888889</v>
      </c>
      <c r="E6" s="90" t="s">
        <v>381</v>
      </c>
      <c r="F6" s="91" t="s">
        <v>572</v>
      </c>
      <c r="G6" s="91" t="s">
        <v>573</v>
      </c>
      <c r="H6" s="133">
        <v>43658.0</v>
      </c>
      <c r="I6" s="87" t="s">
        <v>574</v>
      </c>
      <c r="J6" s="87" t="s">
        <v>571</v>
      </c>
      <c r="K6" s="90" t="s">
        <v>549</v>
      </c>
      <c r="L6" s="90" t="s">
        <v>390</v>
      </c>
      <c r="M6" s="90" t="s">
        <v>31</v>
      </c>
      <c r="N6" s="90" t="s">
        <v>32</v>
      </c>
      <c r="O6" s="90" t="s">
        <v>35</v>
      </c>
      <c r="P6" s="90"/>
      <c r="Q6" s="90" t="s">
        <v>121</v>
      </c>
      <c r="R6" s="93"/>
      <c r="S6" s="94"/>
      <c r="T6" s="96">
        <v>7500000.0</v>
      </c>
      <c r="U6" s="95"/>
      <c r="V6" s="129"/>
      <c r="W6" s="96" t="str">
        <f t="shared" si="3"/>
        <v/>
      </c>
      <c r="X6" s="98">
        <f t="shared" si="4"/>
        <v>7500000</v>
      </c>
      <c r="Y6" s="99" t="str">
        <f t="shared" si="5"/>
        <v>$6M - $8M</v>
      </c>
      <c r="Z6" s="90" t="s">
        <v>36</v>
      </c>
      <c r="AA6" s="90" t="s">
        <v>105</v>
      </c>
      <c r="AB6" s="90" t="s">
        <v>38</v>
      </c>
      <c r="AC6" s="90" t="s">
        <v>469</v>
      </c>
      <c r="AD6" s="90" t="s">
        <v>89</v>
      </c>
      <c r="AE6" s="100" t="s">
        <v>39</v>
      </c>
      <c r="AF6" s="90" t="s">
        <v>469</v>
      </c>
      <c r="AG6" s="101">
        <v>1.5E9</v>
      </c>
      <c r="AH6" s="97" t="str">
        <f t="shared" si="6"/>
        <v>$1B-$5B</v>
      </c>
      <c r="AI6" s="96">
        <v>2.42E8</v>
      </c>
      <c r="AJ6" s="97" t="str">
        <f t="shared" si="7"/>
        <v>$100M-$250M</v>
      </c>
      <c r="AK6" s="102">
        <v>0.13</v>
      </c>
      <c r="AL6" s="88" t="str">
        <f t="shared" si="8"/>
        <v>10%-20%</v>
      </c>
      <c r="AM6" s="88">
        <v>240.0</v>
      </c>
      <c r="AN6" s="100" t="s">
        <v>39</v>
      </c>
      <c r="AO6" s="90" t="s">
        <v>89</v>
      </c>
      <c r="AP6" s="90" t="s">
        <v>40</v>
      </c>
      <c r="AQ6" s="87" t="s">
        <v>89</v>
      </c>
      <c r="AR6" s="100" t="s">
        <v>39</v>
      </c>
      <c r="AS6" s="90" t="s">
        <v>469</v>
      </c>
      <c r="AT6" s="90" t="s">
        <v>469</v>
      </c>
      <c r="AU6" s="90" t="s">
        <v>469</v>
      </c>
      <c r="AV6" s="90" t="s">
        <v>469</v>
      </c>
      <c r="AW6" s="96">
        <v>0.0</v>
      </c>
      <c r="AX6" s="96" t="str">
        <f t="shared" si="9"/>
        <v>&lt; $10K</v>
      </c>
      <c r="AY6" s="96">
        <v>564.0</v>
      </c>
      <c r="AZ6" s="101">
        <v>0.0</v>
      </c>
      <c r="BA6" s="103" t="str">
        <f t="shared" si="10"/>
        <v>&lt; $10K</v>
      </c>
      <c r="BB6" s="103">
        <f t="shared" si="11"/>
        <v>1</v>
      </c>
      <c r="BC6" s="103" t="str">
        <f t="shared" si="12"/>
        <v>90% - 100%</v>
      </c>
      <c r="BD6" s="90" t="s">
        <v>91</v>
      </c>
      <c r="BE6" s="90"/>
      <c r="BF6" s="90" t="s">
        <v>493</v>
      </c>
      <c r="BG6" s="88">
        <v>1.0</v>
      </c>
      <c r="BH6" s="88">
        <v>1.0</v>
      </c>
      <c r="BI6" s="90" t="s">
        <v>469</v>
      </c>
      <c r="BJ6" s="90" t="s">
        <v>469</v>
      </c>
      <c r="BK6" s="90" t="s">
        <v>469</v>
      </c>
      <c r="BL6" s="90" t="s">
        <v>469</v>
      </c>
      <c r="BM6" s="88">
        <v>1.0</v>
      </c>
      <c r="BN6" s="88">
        <v>9.0</v>
      </c>
      <c r="BO6" s="88">
        <v>1.0</v>
      </c>
      <c r="BP6" s="88">
        <v>0.0</v>
      </c>
      <c r="BQ6" s="104"/>
      <c r="BR6" s="105">
        <v>0.0</v>
      </c>
      <c r="BS6" s="105">
        <v>2.0</v>
      </c>
      <c r="BT6" s="105">
        <v>0.0</v>
      </c>
      <c r="BU6" s="105">
        <v>45.0</v>
      </c>
      <c r="BV6" s="87" t="s">
        <v>469</v>
      </c>
      <c r="BW6" s="104"/>
      <c r="BX6" s="87"/>
      <c r="BY6" s="87"/>
      <c r="BZ6" s="87"/>
      <c r="CA6" s="87"/>
      <c r="CB6" s="87"/>
      <c r="CC6" s="104"/>
      <c r="CD6" s="87"/>
      <c r="CE6" s="87"/>
      <c r="CF6" s="87"/>
      <c r="CG6" s="87"/>
      <c r="CH6" s="87"/>
      <c r="CI6" s="104"/>
      <c r="CJ6" s="87"/>
      <c r="CK6" s="87"/>
      <c r="CL6" s="87"/>
      <c r="CM6" s="87"/>
      <c r="CN6" s="87"/>
      <c r="CO6" s="104"/>
      <c r="CP6" s="87"/>
      <c r="CQ6" s="87"/>
      <c r="CR6" s="87"/>
      <c r="CS6" s="87"/>
      <c r="CT6" s="87"/>
      <c r="CU6" s="104"/>
      <c r="CV6" s="87"/>
      <c r="CW6" s="87"/>
      <c r="CX6" s="87"/>
      <c r="CY6" s="87"/>
      <c r="CZ6" s="87"/>
      <c r="DA6" s="104"/>
      <c r="DB6" s="87"/>
      <c r="DC6" s="87"/>
      <c r="DD6" s="87"/>
      <c r="DE6" s="87"/>
      <c r="DF6" s="87"/>
      <c r="DG6" s="104"/>
      <c r="DH6" s="87"/>
      <c r="DI6" s="87"/>
      <c r="DJ6" s="87"/>
      <c r="DK6" s="87"/>
      <c r="DL6" s="87"/>
      <c r="DM6" s="104"/>
      <c r="DN6" s="87"/>
      <c r="DO6" s="87"/>
      <c r="DP6" s="87"/>
      <c r="DQ6" s="87"/>
      <c r="DR6" s="87"/>
      <c r="DS6" s="130"/>
      <c r="DT6" s="108"/>
      <c r="DU6" s="108"/>
      <c r="DW6" s="109"/>
      <c r="DX6" s="110">
        <f t="shared" si="13"/>
        <v>0</v>
      </c>
      <c r="DY6" s="111">
        <f t="shared" ref="DY6:DZ6" si="61">sum(BS6,BY6,CE6,CK6,CQ6,CW6,DC6,DI6,DO6)</f>
        <v>2</v>
      </c>
      <c r="DZ6" s="111">
        <f t="shared" si="61"/>
        <v>0</v>
      </c>
      <c r="EA6" s="110">
        <f t="shared" si="15"/>
        <v>45</v>
      </c>
      <c r="EB6" s="99" t="str">
        <f t="shared" si="16"/>
        <v>35 - 54</v>
      </c>
      <c r="EC6" s="112"/>
      <c r="ED6" s="113">
        <f t="shared" si="17"/>
        <v>4.2</v>
      </c>
      <c r="EE6" s="114" t="str">
        <f>IF(V6 &lt;&gt; "", 1+((V6-MIN(discount_rates))*(4)/(MAX(discount_rates) - MIN(discount_rates))), "")</f>
        <v/>
      </c>
      <c r="EF6" s="114" t="str">
        <f>IF(Q6="Debt", (1+((S6-MIN(interest_rates))*(4)/(MAX(interest_rates) - MIN(interest_rates)))), "")</f>
        <v/>
      </c>
      <c r="EG6" s="114" t="str">
        <f>IF(OR(Q6="Revenue Share", Q6="Profit Share"), (1+((R6-MIN(return_mutiples))*(4)/(MAX(return_mutiples) - MIN(return_mutiples)))), "")</f>
        <v/>
      </c>
      <c r="EH6" s="115">
        <f t="shared" si="18"/>
        <v>4.2</v>
      </c>
      <c r="EI6" s="116" t="str">
        <f t="shared" si="19"/>
        <v>Equity - Common</v>
      </c>
      <c r="EJ6" s="117">
        <f t="shared" si="20"/>
        <v>0.3287671233</v>
      </c>
      <c r="EK6" s="116" t="str">
        <f t="shared" si="21"/>
        <v>Early</v>
      </c>
      <c r="EL6" s="112"/>
      <c r="EM6" s="118">
        <f t="shared" si="22"/>
        <v>1.9</v>
      </c>
      <c r="EN6" s="118">
        <f t="shared" si="23"/>
        <v>2.3</v>
      </c>
      <c r="EO6" s="119">
        <f t="shared" si="24"/>
        <v>4.2</v>
      </c>
      <c r="EP6" s="115">
        <f>1+((EO6-MIN(market_ratings_sums))*(4)/(MAX(market_ratings_sums) - MIN(market_ratings_sums)))</f>
        <v>2.052631579</v>
      </c>
      <c r="EQ6" s="116" t="str">
        <f t="shared" si="25"/>
        <v>No</v>
      </c>
      <c r="ER6" s="112"/>
      <c r="ES6" s="123">
        <f>1+((DX6-MIN(industry_experiences))*(4)/(MAX(industry_experiences) - MIN(industry_experiences)))</f>
        <v>1</v>
      </c>
      <c r="ET6" s="123">
        <f>1+((DY6-MIN(previous_startups))*(4)/(MAX(previous_startups) - MIN(previous_startups)))</f>
        <v>1.888888889</v>
      </c>
      <c r="EU6" s="123">
        <f>1+((DZ6-MIN(exits))*(4)/(MAX(exits) - MIN(exits)))</f>
        <v>1</v>
      </c>
      <c r="EV6" s="119">
        <f t="shared" si="26"/>
        <v>3.888888889</v>
      </c>
      <c r="EW6" s="124">
        <f>1+((EV6-MIN(team_ratings_sums))*(4)/(MAX(team_ratings_sums) - MIN(team_ratings_sums)))</f>
        <v>1.486956522</v>
      </c>
      <c r="EX6" s="116" t="str">
        <f t="shared" si="27"/>
        <v>35 - 54</v>
      </c>
      <c r="EY6" s="125">
        <f t="shared" si="28"/>
        <v>0.6849315068</v>
      </c>
      <c r="EZ6" s="116">
        <f t="shared" si="29"/>
        <v>1</v>
      </c>
      <c r="FA6" s="125">
        <f t="shared" si="30"/>
        <v>0.4383561644</v>
      </c>
      <c r="FB6" s="116">
        <f t="shared" si="31"/>
        <v>9</v>
      </c>
      <c r="FC6" s="125">
        <f t="shared" si="32"/>
        <v>0.05479452055</v>
      </c>
      <c r="FD6" s="116" t="str">
        <f t="shared" si="33"/>
        <v>No</v>
      </c>
      <c r="FE6" s="125">
        <f t="shared" si="34"/>
        <v>0.7534246575</v>
      </c>
      <c r="FF6" s="116" t="str">
        <f t="shared" ref="FF6:FH6" si="62">BJ6</f>
        <v>No</v>
      </c>
      <c r="FG6" s="116" t="str">
        <f t="shared" si="62"/>
        <v>No</v>
      </c>
      <c r="FH6" s="116" t="str">
        <f t="shared" si="62"/>
        <v>No</v>
      </c>
      <c r="FI6" s="112"/>
      <c r="FJ6" s="116" t="str">
        <f t="shared" si="36"/>
        <v>Transactional</v>
      </c>
      <c r="FK6" s="125">
        <f t="shared" si="37"/>
        <v>0.602739726</v>
      </c>
      <c r="FL6" s="116" t="str">
        <f t="shared" si="38"/>
        <v>B2B2C</v>
      </c>
      <c r="FM6" s="125">
        <f t="shared" si="39"/>
        <v>0.02739726027</v>
      </c>
      <c r="FN6" s="116" t="str">
        <f t="shared" si="40"/>
        <v>Low</v>
      </c>
      <c r="FO6" s="125">
        <f t="shared" si="41"/>
        <v>0.4383561644</v>
      </c>
      <c r="FP6" s="116" t="str">
        <f t="shared" si="42"/>
        <v>High</v>
      </c>
      <c r="FQ6" s="125">
        <f t="shared" si="43"/>
        <v>0.6438356164</v>
      </c>
      <c r="FR6" s="112"/>
      <c r="FS6" s="123">
        <f t="shared" si="44"/>
        <v>1</v>
      </c>
      <c r="FT6" s="123">
        <f t="shared" si="45"/>
        <v>1</v>
      </c>
      <c r="FU6" s="123">
        <f t="shared" si="46"/>
        <v>1</v>
      </c>
      <c r="FV6" s="123">
        <f t="shared" si="47"/>
        <v>5</v>
      </c>
      <c r="FW6" s="119">
        <f t="shared" si="48"/>
        <v>8</v>
      </c>
      <c r="FX6" s="115">
        <f>1+((FW6-MIN(performance_ratings_sums))*(4)/(MAX(performance_ratings_sums) - MIN(performance_ratings_sums)))</f>
        <v>1.485981308</v>
      </c>
      <c r="FY6" s="116" t="str">
        <f t="shared" si="49"/>
        <v>Pre-Revenue</v>
      </c>
      <c r="FZ6" s="126">
        <f t="shared" si="50"/>
        <v>0.2054794521</v>
      </c>
      <c r="GA6" s="112"/>
      <c r="GB6" s="127">
        <f t="shared" si="51"/>
        <v>3</v>
      </c>
      <c r="GC6" s="116" t="str">
        <f t="shared" si="52"/>
        <v>No</v>
      </c>
      <c r="GD6" s="126">
        <f t="shared" si="53"/>
        <v>0.7671232877</v>
      </c>
      <c r="GE6" s="126" t="str">
        <f t="shared" si="54"/>
        <v>Low</v>
      </c>
      <c r="GF6" s="126">
        <f t="shared" si="55"/>
        <v>0.5479452055</v>
      </c>
      <c r="GG6" s="126" t="str">
        <f t="shared" si="56"/>
        <v>High</v>
      </c>
      <c r="GH6" s="126">
        <f t="shared" si="57"/>
        <v>0.8082191781</v>
      </c>
      <c r="GI6" s="112"/>
      <c r="GJ6" s="116"/>
      <c r="GK6" s="119">
        <f t="shared" si="58"/>
        <v>12.22556941</v>
      </c>
      <c r="GL6" s="128">
        <f>1+((GK6-MIN(ratings_sums))*(4)/(MAX(ratings_sums) - MIN(ratings_sums)))</f>
        <v>2.54388952</v>
      </c>
    </row>
    <row r="7" ht="15.75" customHeight="1">
      <c r="A7" s="87" t="s">
        <v>427</v>
      </c>
      <c r="B7" s="88">
        <v>1777377.0</v>
      </c>
      <c r="C7" s="87" t="s">
        <v>575</v>
      </c>
      <c r="D7" s="89">
        <v>43662.44027777778</v>
      </c>
      <c r="E7" s="90" t="s">
        <v>381</v>
      </c>
      <c r="F7" s="91" t="s">
        <v>576</v>
      </c>
      <c r="G7" s="91" t="s">
        <v>577</v>
      </c>
      <c r="H7" s="92">
        <v>43661.0</v>
      </c>
      <c r="I7" s="87" t="s">
        <v>578</v>
      </c>
      <c r="J7" s="87" t="s">
        <v>575</v>
      </c>
      <c r="K7" s="90" t="s">
        <v>354</v>
      </c>
      <c r="L7" s="90" t="s">
        <v>390</v>
      </c>
      <c r="M7" s="90" t="s">
        <v>31</v>
      </c>
      <c r="N7" s="90" t="s">
        <v>32</v>
      </c>
      <c r="O7" s="90" t="s">
        <v>35</v>
      </c>
      <c r="P7" s="90"/>
      <c r="Q7" s="90" t="s">
        <v>84</v>
      </c>
      <c r="R7" s="93"/>
      <c r="S7" s="94"/>
      <c r="T7" s="95"/>
      <c r="U7" s="96">
        <v>6000000.0</v>
      </c>
      <c r="V7" s="97">
        <v>0.2</v>
      </c>
      <c r="W7" s="96">
        <f t="shared" si="3"/>
        <v>4800000</v>
      </c>
      <c r="X7" s="98">
        <f t="shared" si="4"/>
        <v>4800000</v>
      </c>
      <c r="Y7" s="99" t="str">
        <f t="shared" si="5"/>
        <v>$4M - $6M</v>
      </c>
      <c r="Z7" s="90" t="s">
        <v>36</v>
      </c>
      <c r="AA7" s="90" t="s">
        <v>87</v>
      </c>
      <c r="AB7" s="90" t="s">
        <v>38</v>
      </c>
      <c r="AC7" s="90" t="s">
        <v>493</v>
      </c>
      <c r="AD7" s="100" t="s">
        <v>39</v>
      </c>
      <c r="AE7" s="100" t="s">
        <v>39</v>
      </c>
      <c r="AF7" s="90" t="s">
        <v>469</v>
      </c>
      <c r="AG7" s="101">
        <v>3.08E11</v>
      </c>
      <c r="AH7" s="97" t="str">
        <f t="shared" si="6"/>
        <v>$250B-$500B</v>
      </c>
      <c r="AI7" s="96">
        <v>2.7E8</v>
      </c>
      <c r="AJ7" s="97" t="str">
        <f t="shared" si="7"/>
        <v>$250M-$500M</v>
      </c>
      <c r="AK7" s="102">
        <v>0.44</v>
      </c>
      <c r="AL7" s="88" t="str">
        <f t="shared" si="8"/>
        <v>40%-50%</v>
      </c>
      <c r="AM7" s="88">
        <v>25.0</v>
      </c>
      <c r="AN7" s="100" t="s">
        <v>39</v>
      </c>
      <c r="AO7" s="90" t="s">
        <v>89</v>
      </c>
      <c r="AP7" s="90" t="s">
        <v>40</v>
      </c>
      <c r="AQ7" s="100" t="s">
        <v>39</v>
      </c>
      <c r="AR7" s="100" t="s">
        <v>39</v>
      </c>
      <c r="AS7" s="90" t="s">
        <v>469</v>
      </c>
      <c r="AT7" s="90" t="s">
        <v>469</v>
      </c>
      <c r="AU7" s="90" t="s">
        <v>469</v>
      </c>
      <c r="AV7" s="90" t="s">
        <v>493</v>
      </c>
      <c r="AW7" s="96">
        <v>140.0</v>
      </c>
      <c r="AX7" s="96" t="str">
        <f t="shared" si="9"/>
        <v>&lt; $10K</v>
      </c>
      <c r="AY7" s="96">
        <v>2380.0</v>
      </c>
      <c r="AZ7" s="101">
        <v>0.0</v>
      </c>
      <c r="BA7" s="103" t="str">
        <f t="shared" si="10"/>
        <v>&lt; $10K</v>
      </c>
      <c r="BB7" s="103">
        <f t="shared" si="11"/>
        <v>1</v>
      </c>
      <c r="BC7" s="103" t="str">
        <f t="shared" si="12"/>
        <v>90% - 100%</v>
      </c>
      <c r="BD7" s="90" t="s">
        <v>107</v>
      </c>
      <c r="BE7" s="90"/>
      <c r="BF7" s="90" t="s">
        <v>469</v>
      </c>
      <c r="BG7" s="88">
        <v>0.0</v>
      </c>
      <c r="BH7" s="88">
        <v>4.0</v>
      </c>
      <c r="BI7" s="90" t="s">
        <v>469</v>
      </c>
      <c r="BJ7" s="90" t="s">
        <v>493</v>
      </c>
      <c r="BK7" s="90" t="s">
        <v>469</v>
      </c>
      <c r="BL7" s="90" t="s">
        <v>469</v>
      </c>
      <c r="BM7" s="88">
        <v>3.0</v>
      </c>
      <c r="BN7" s="88">
        <v>8.0</v>
      </c>
      <c r="BO7" s="88">
        <v>1.0</v>
      </c>
      <c r="BP7" s="88">
        <v>0.0</v>
      </c>
      <c r="BQ7" s="104"/>
      <c r="BR7" s="105">
        <v>0.0</v>
      </c>
      <c r="BS7" s="105">
        <v>1.0</v>
      </c>
      <c r="BT7" s="105">
        <v>0.0</v>
      </c>
      <c r="BU7" s="105">
        <v>42.0</v>
      </c>
      <c r="BV7" s="87" t="s">
        <v>469</v>
      </c>
      <c r="BW7" s="104"/>
      <c r="BX7" s="88">
        <v>15.0</v>
      </c>
      <c r="BY7" s="88">
        <v>0.0</v>
      </c>
      <c r="BZ7" s="88">
        <v>0.0</v>
      </c>
      <c r="CA7" s="90"/>
      <c r="CB7" s="90" t="s">
        <v>469</v>
      </c>
      <c r="CC7" s="104"/>
      <c r="CD7" s="88">
        <v>0.0</v>
      </c>
      <c r="CE7" s="88">
        <v>0.0</v>
      </c>
      <c r="CF7" s="88">
        <v>0.0</v>
      </c>
      <c r="CG7" s="88">
        <v>42.0</v>
      </c>
      <c r="CH7" s="90" t="s">
        <v>493</v>
      </c>
      <c r="CI7" s="104"/>
      <c r="CJ7" s="90"/>
      <c r="CK7" s="90"/>
      <c r="CL7" s="90"/>
      <c r="CM7" s="90"/>
      <c r="CN7" s="90"/>
      <c r="CO7" s="104"/>
      <c r="CP7" s="105"/>
      <c r="CQ7" s="105"/>
      <c r="CR7" s="105"/>
      <c r="CS7" s="105"/>
      <c r="CT7" s="87"/>
      <c r="CU7" s="104"/>
      <c r="CV7" s="105"/>
      <c r="CW7" s="105"/>
      <c r="CX7" s="105"/>
      <c r="CY7" s="105"/>
      <c r="CZ7" s="87"/>
      <c r="DA7" s="104"/>
      <c r="DB7" s="105"/>
      <c r="DC7" s="105"/>
      <c r="DD7" s="105"/>
      <c r="DE7" s="105"/>
      <c r="DF7" s="87"/>
      <c r="DG7" s="104"/>
      <c r="DH7" s="105"/>
      <c r="DI7" s="105"/>
      <c r="DJ7" s="105"/>
      <c r="DK7" s="105"/>
      <c r="DL7" s="87"/>
      <c r="DM7" s="104"/>
      <c r="DN7" s="105"/>
      <c r="DO7" s="105"/>
      <c r="DP7" s="105"/>
      <c r="DQ7" s="105"/>
      <c r="DR7" s="87"/>
      <c r="DS7" s="130"/>
      <c r="DT7" s="108"/>
      <c r="DU7" s="108"/>
      <c r="DW7" s="109"/>
      <c r="DX7" s="110">
        <f t="shared" si="13"/>
        <v>5</v>
      </c>
      <c r="DY7" s="111">
        <f t="shared" ref="DY7:DZ7" si="63">sum(BS7,BY7,CE7,CK7,CQ7,CW7,DC7,DI7,DO7)</f>
        <v>1</v>
      </c>
      <c r="DZ7" s="111">
        <f t="shared" si="63"/>
        <v>0</v>
      </c>
      <c r="EA7" s="110">
        <f t="shared" si="15"/>
        <v>42</v>
      </c>
      <c r="EB7" s="99" t="str">
        <f t="shared" si="16"/>
        <v>35 - 54</v>
      </c>
      <c r="EC7" s="112"/>
      <c r="ED7" s="113">
        <f t="shared" si="17"/>
        <v>4.4</v>
      </c>
      <c r="EE7" s="114">
        <f>IF(V7 &lt;&gt; "", 1+((V7-MIN(discount_rates))*(4)/(MAX(discount_rates) - MIN(discount_rates))), "")</f>
        <v>3.105263158</v>
      </c>
      <c r="EF7" s="114" t="str">
        <f>IF(Q7="Debt", (1+((S7-MIN(interest_rates))*(4)/(MAX(interest_rates) - MIN(interest_rates)))), "")</f>
        <v/>
      </c>
      <c r="EG7" s="114" t="str">
        <f>IF(OR(Q7="Revenue Share", Q7="Profit Share"), (1+((R7-MIN(return_mutiples))*(4)/(MAX(return_mutiples) - MIN(return_mutiples)))), "")</f>
        <v/>
      </c>
      <c r="EH7" s="115">
        <f t="shared" si="18"/>
        <v>4.4</v>
      </c>
      <c r="EI7" s="116" t="str">
        <f t="shared" si="19"/>
        <v>Convertible Note</v>
      </c>
      <c r="EJ7" s="117">
        <f t="shared" si="20"/>
        <v>0.1232876712</v>
      </c>
      <c r="EK7" s="116" t="str">
        <f t="shared" si="21"/>
        <v>Early</v>
      </c>
      <c r="EL7" s="112"/>
      <c r="EM7" s="118">
        <f t="shared" si="22"/>
        <v>2.1</v>
      </c>
      <c r="EN7" s="118">
        <f t="shared" si="23"/>
        <v>4.3</v>
      </c>
      <c r="EO7" s="119">
        <f t="shared" si="24"/>
        <v>6.4</v>
      </c>
      <c r="EP7" s="115">
        <f>1+((EO7-MIN(market_ratings_sums))*(4)/(MAX(market_ratings_sums) - MIN(market_ratings_sums)))</f>
        <v>3.596491228</v>
      </c>
      <c r="EQ7" s="116" t="str">
        <f t="shared" si="25"/>
        <v>No</v>
      </c>
      <c r="ER7" s="112"/>
      <c r="ES7" s="123">
        <f>1+((DX7-MIN(industry_experiences))*(4)/(MAX(industry_experiences) - MIN(industry_experiences)))</f>
        <v>1.476190476</v>
      </c>
      <c r="ET7" s="123">
        <f>1+((DY7-MIN(previous_startups))*(4)/(MAX(previous_startups) - MIN(previous_startups)))</f>
        <v>1.444444444</v>
      </c>
      <c r="EU7" s="123">
        <f>1+((DZ7-MIN(exits))*(4)/(MAX(exits) - MIN(exits)))</f>
        <v>1</v>
      </c>
      <c r="EV7" s="119">
        <f t="shared" si="26"/>
        <v>3.920634921</v>
      </c>
      <c r="EW7" s="124">
        <f>1+((EV7-MIN(team_ratings_sums))*(4)/(MAX(team_ratings_sums) - MIN(team_ratings_sums)))</f>
        <v>1.504347826</v>
      </c>
      <c r="EX7" s="116" t="str">
        <f t="shared" si="27"/>
        <v>35 - 54</v>
      </c>
      <c r="EY7" s="125">
        <f t="shared" si="28"/>
        <v>0.6849315068</v>
      </c>
      <c r="EZ7" s="116">
        <f t="shared" si="29"/>
        <v>4</v>
      </c>
      <c r="FA7" s="125">
        <f t="shared" si="30"/>
        <v>0.05479452055</v>
      </c>
      <c r="FB7" s="116">
        <f t="shared" si="31"/>
        <v>8</v>
      </c>
      <c r="FC7" s="125">
        <f t="shared" si="32"/>
        <v>0.05479452055</v>
      </c>
      <c r="FD7" s="116" t="str">
        <f t="shared" si="33"/>
        <v>No</v>
      </c>
      <c r="FE7" s="125">
        <f t="shared" si="34"/>
        <v>0.7534246575</v>
      </c>
      <c r="FF7" s="116" t="str">
        <f t="shared" ref="FF7:FH7" si="64">BJ7</f>
        <v>Yes</v>
      </c>
      <c r="FG7" s="116" t="str">
        <f t="shared" si="64"/>
        <v>No</v>
      </c>
      <c r="FH7" s="116" t="str">
        <f t="shared" si="64"/>
        <v>No</v>
      </c>
      <c r="FI7" s="112"/>
      <c r="FJ7" s="116" t="str">
        <f t="shared" si="36"/>
        <v>Transactional</v>
      </c>
      <c r="FK7" s="125">
        <f t="shared" si="37"/>
        <v>0.602739726</v>
      </c>
      <c r="FL7" s="116" t="str">
        <f t="shared" si="38"/>
        <v>B2C</v>
      </c>
      <c r="FM7" s="125">
        <f t="shared" si="39"/>
        <v>0.397260274</v>
      </c>
      <c r="FN7" s="116" t="str">
        <f t="shared" si="40"/>
        <v>High</v>
      </c>
      <c r="FO7" s="125">
        <f t="shared" si="41"/>
        <v>0.5616438356</v>
      </c>
      <c r="FP7" s="116" t="str">
        <f t="shared" si="42"/>
        <v>High</v>
      </c>
      <c r="FQ7" s="125">
        <f t="shared" si="43"/>
        <v>0.6438356164</v>
      </c>
      <c r="FR7" s="112"/>
      <c r="FS7" s="123">
        <f t="shared" si="44"/>
        <v>5</v>
      </c>
      <c r="FT7" s="123">
        <f t="shared" si="45"/>
        <v>1</v>
      </c>
      <c r="FU7" s="123">
        <f t="shared" si="46"/>
        <v>1</v>
      </c>
      <c r="FV7" s="123">
        <f t="shared" si="47"/>
        <v>5</v>
      </c>
      <c r="FW7" s="119">
        <f t="shared" si="48"/>
        <v>12</v>
      </c>
      <c r="FX7" s="115">
        <f>1+((FW7-MIN(performance_ratings_sums))*(4)/(MAX(performance_ratings_sums) - MIN(performance_ratings_sums)))</f>
        <v>2.981308411</v>
      </c>
      <c r="FY7" s="116" t="str">
        <f t="shared" si="49"/>
        <v>Pre-Profit</v>
      </c>
      <c r="FZ7" s="126">
        <f t="shared" si="50"/>
        <v>0.4931506849</v>
      </c>
      <c r="GA7" s="112"/>
      <c r="GB7" s="127">
        <f t="shared" si="51"/>
        <v>3</v>
      </c>
      <c r="GC7" s="116" t="str">
        <f t="shared" si="52"/>
        <v>No</v>
      </c>
      <c r="GD7" s="126">
        <f t="shared" si="53"/>
        <v>0.7671232877</v>
      </c>
      <c r="GE7" s="126" t="str">
        <f t="shared" si="54"/>
        <v>High</v>
      </c>
      <c r="GF7" s="126">
        <f t="shared" si="55"/>
        <v>0.4520547945</v>
      </c>
      <c r="GG7" s="126" t="str">
        <f t="shared" si="56"/>
        <v>High</v>
      </c>
      <c r="GH7" s="126">
        <f t="shared" si="57"/>
        <v>0.8082191781</v>
      </c>
      <c r="GI7" s="112"/>
      <c r="GJ7" s="116"/>
      <c r="GK7" s="119">
        <f t="shared" si="58"/>
        <v>15.48214747</v>
      </c>
      <c r="GL7" s="128">
        <f>1+((GK7-MIN(ratings_sums))*(4)/(MAX(ratings_sums) - MIN(ratings_sums)))</f>
        <v>3.543137825</v>
      </c>
    </row>
    <row r="8" ht="15.75" customHeight="1">
      <c r="A8" s="87" t="s">
        <v>427</v>
      </c>
      <c r="B8" s="88">
        <v>1654124.0</v>
      </c>
      <c r="C8" s="87" t="s">
        <v>579</v>
      </c>
      <c r="D8" s="89">
        <v>43663.43125</v>
      </c>
      <c r="E8" s="90" t="s">
        <v>381</v>
      </c>
      <c r="F8" s="91" t="s">
        <v>580</v>
      </c>
      <c r="G8" s="91" t="s">
        <v>581</v>
      </c>
      <c r="H8" s="92">
        <v>43663.0</v>
      </c>
      <c r="I8" s="87" t="s">
        <v>582</v>
      </c>
      <c r="J8" s="87" t="s">
        <v>583</v>
      </c>
      <c r="K8" s="90" t="s">
        <v>422</v>
      </c>
      <c r="L8" s="90" t="s">
        <v>316</v>
      </c>
      <c r="M8" s="90" t="s">
        <v>31</v>
      </c>
      <c r="N8" s="90" t="s">
        <v>101</v>
      </c>
      <c r="O8" s="90" t="s">
        <v>35</v>
      </c>
      <c r="P8" s="90"/>
      <c r="Q8" s="90" t="s">
        <v>84</v>
      </c>
      <c r="R8" s="93"/>
      <c r="S8" s="94"/>
      <c r="T8" s="95"/>
      <c r="U8" s="96">
        <v>5.0E7</v>
      </c>
      <c r="V8" s="97">
        <v>0.3</v>
      </c>
      <c r="W8" s="96">
        <f t="shared" si="3"/>
        <v>35000000</v>
      </c>
      <c r="X8" s="98">
        <f t="shared" si="4"/>
        <v>35000000</v>
      </c>
      <c r="Y8" s="99" t="str">
        <f t="shared" si="5"/>
        <v>$34M - $36M</v>
      </c>
      <c r="Z8" s="90" t="s">
        <v>36</v>
      </c>
      <c r="AA8" s="90" t="s">
        <v>37</v>
      </c>
      <c r="AB8" s="90" t="s">
        <v>38</v>
      </c>
      <c r="AC8" s="90" t="s">
        <v>469</v>
      </c>
      <c r="AD8" s="100" t="s">
        <v>39</v>
      </c>
      <c r="AE8" s="100" t="s">
        <v>39</v>
      </c>
      <c r="AF8" s="90" t="s">
        <v>469</v>
      </c>
      <c r="AG8" s="101">
        <v>4.63E11</v>
      </c>
      <c r="AH8" s="97" t="str">
        <f t="shared" si="6"/>
        <v>$250B-$500B</v>
      </c>
      <c r="AI8" s="96">
        <v>6.5E8</v>
      </c>
      <c r="AJ8" s="97" t="str">
        <f t="shared" si="7"/>
        <v>$500M-$1B</v>
      </c>
      <c r="AK8" s="102">
        <v>0.11</v>
      </c>
      <c r="AL8" s="88" t="str">
        <f t="shared" si="8"/>
        <v>10%-20%</v>
      </c>
      <c r="AM8" s="88">
        <v>11.0</v>
      </c>
      <c r="AN8" s="100" t="s">
        <v>39</v>
      </c>
      <c r="AO8" s="100" t="s">
        <v>39</v>
      </c>
      <c r="AP8" s="90" t="s">
        <v>90</v>
      </c>
      <c r="AQ8" s="100" t="s">
        <v>39</v>
      </c>
      <c r="AR8" s="87" t="s">
        <v>89</v>
      </c>
      <c r="AS8" s="90" t="s">
        <v>469</v>
      </c>
      <c r="AT8" s="90" t="s">
        <v>493</v>
      </c>
      <c r="AU8" s="90" t="s">
        <v>469</v>
      </c>
      <c r="AV8" s="90" t="s">
        <v>469</v>
      </c>
      <c r="AW8" s="96">
        <v>0.0</v>
      </c>
      <c r="AX8" s="96" t="str">
        <f t="shared" si="9"/>
        <v>&lt; $10K</v>
      </c>
      <c r="AY8" s="96">
        <v>214774.0</v>
      </c>
      <c r="AZ8" s="101">
        <v>9300000.0</v>
      </c>
      <c r="BA8" s="103" t="str">
        <f t="shared" si="10"/>
        <v>&gt; $5M</v>
      </c>
      <c r="BB8" s="103">
        <f t="shared" si="11"/>
        <v>0.02309397849</v>
      </c>
      <c r="BC8" s="103" t="str">
        <f t="shared" si="12"/>
        <v>&lt; 10%</v>
      </c>
      <c r="BD8" s="90" t="s">
        <v>41</v>
      </c>
      <c r="BE8" s="90"/>
      <c r="BF8" s="90" t="s">
        <v>469</v>
      </c>
      <c r="BG8" s="88">
        <v>0.0</v>
      </c>
      <c r="BH8" s="88">
        <v>1.0</v>
      </c>
      <c r="BI8" s="90" t="s">
        <v>469</v>
      </c>
      <c r="BJ8" s="90" t="s">
        <v>469</v>
      </c>
      <c r="BK8" s="90" t="s">
        <v>493</v>
      </c>
      <c r="BL8" s="90" t="s">
        <v>469</v>
      </c>
      <c r="BM8" s="88">
        <v>1.0</v>
      </c>
      <c r="BN8" s="88">
        <v>5.0</v>
      </c>
      <c r="BO8" s="88">
        <v>4.0</v>
      </c>
      <c r="BP8" s="88">
        <v>1.0</v>
      </c>
      <c r="BQ8" s="104"/>
      <c r="BR8" s="105">
        <v>11.0</v>
      </c>
      <c r="BS8" s="105">
        <v>1.0</v>
      </c>
      <c r="BT8" s="105">
        <v>0.0</v>
      </c>
      <c r="BU8" s="105">
        <v>34.0</v>
      </c>
      <c r="BV8" s="87" t="s">
        <v>493</v>
      </c>
      <c r="BW8" s="104"/>
      <c r="BX8" s="87"/>
      <c r="BY8" s="87"/>
      <c r="BZ8" s="87"/>
      <c r="CA8" s="87"/>
      <c r="CB8" s="87"/>
      <c r="CC8" s="104"/>
      <c r="CD8" s="87"/>
      <c r="CE8" s="87"/>
      <c r="CF8" s="87"/>
      <c r="CG8" s="87"/>
      <c r="CH8" s="87"/>
      <c r="CI8" s="104"/>
      <c r="CJ8" s="87"/>
      <c r="CK8" s="87"/>
      <c r="CL8" s="87"/>
      <c r="CM8" s="87"/>
      <c r="CN8" s="87"/>
      <c r="CO8" s="104"/>
      <c r="CP8" s="90"/>
      <c r="CQ8" s="90"/>
      <c r="CR8" s="90"/>
      <c r="CS8" s="90"/>
      <c r="CT8" s="90"/>
      <c r="CU8" s="104"/>
      <c r="CV8" s="90"/>
      <c r="CW8" s="90"/>
      <c r="CX8" s="90"/>
      <c r="CY8" s="90"/>
      <c r="CZ8" s="90"/>
      <c r="DA8" s="104"/>
      <c r="DB8" s="90"/>
      <c r="DC8" s="90"/>
      <c r="DD8" s="90"/>
      <c r="DE8" s="90"/>
      <c r="DF8" s="90"/>
      <c r="DG8" s="104"/>
      <c r="DH8" s="90"/>
      <c r="DI8" s="90"/>
      <c r="DJ8" s="90"/>
      <c r="DK8" s="90"/>
      <c r="DL8" s="90"/>
      <c r="DM8" s="104"/>
      <c r="DN8" s="90"/>
      <c r="DO8" s="90"/>
      <c r="DP8" s="90"/>
      <c r="DQ8" s="90"/>
      <c r="DR8" s="90"/>
      <c r="DS8" s="130"/>
      <c r="DT8" s="108"/>
      <c r="DU8" s="108"/>
      <c r="DW8" s="109"/>
      <c r="DX8" s="110">
        <f t="shared" si="13"/>
        <v>11</v>
      </c>
      <c r="DY8" s="111">
        <f t="shared" ref="DY8:DZ8" si="65">sum(BS8,BY8,CE8,CK8,CQ8,CW8,DC8,DI8,DO8)</f>
        <v>1</v>
      </c>
      <c r="DZ8" s="111">
        <f t="shared" si="65"/>
        <v>0</v>
      </c>
      <c r="EA8" s="110">
        <f t="shared" si="15"/>
        <v>34</v>
      </c>
      <c r="EB8" s="99" t="str">
        <f t="shared" si="16"/>
        <v>20 - 34</v>
      </c>
      <c r="EC8" s="112"/>
      <c r="ED8" s="113">
        <f t="shared" si="17"/>
        <v>1.6</v>
      </c>
      <c r="EE8" s="114">
        <f>IF(V8 &lt;&gt; "", 1+((V8-MIN(discount_rates))*(4)/(MAX(discount_rates) - MIN(discount_rates))), "")</f>
        <v>4.157894737</v>
      </c>
      <c r="EF8" s="114" t="str">
        <f>IF(Q8="Debt", (1+((S8-MIN(interest_rates))*(4)/(MAX(interest_rates) - MIN(interest_rates)))), "")</f>
        <v/>
      </c>
      <c r="EG8" s="114" t="str">
        <f>IF(OR(Q8="Revenue Share", Q8="Profit Share"), (1+((R8-MIN(return_mutiples))*(4)/(MAX(return_mutiples) - MIN(return_mutiples)))), "")</f>
        <v/>
      </c>
      <c r="EH8" s="115">
        <f t="shared" si="18"/>
        <v>1.6</v>
      </c>
      <c r="EI8" s="116" t="str">
        <f t="shared" si="19"/>
        <v>Convertible Note</v>
      </c>
      <c r="EJ8" s="117">
        <f t="shared" si="20"/>
        <v>0.1232876712</v>
      </c>
      <c r="EK8" s="116" t="str">
        <f t="shared" si="21"/>
        <v>Early</v>
      </c>
      <c r="EL8" s="112"/>
      <c r="EM8" s="118">
        <f t="shared" si="22"/>
        <v>2.4</v>
      </c>
      <c r="EN8" s="118">
        <f t="shared" si="23"/>
        <v>2.3</v>
      </c>
      <c r="EO8" s="119">
        <f t="shared" si="24"/>
        <v>4.7</v>
      </c>
      <c r="EP8" s="115">
        <f>1+((EO8-MIN(market_ratings_sums))*(4)/(MAX(market_ratings_sums) - MIN(market_ratings_sums)))</f>
        <v>2.403508772</v>
      </c>
      <c r="EQ8" s="116" t="str">
        <f t="shared" si="25"/>
        <v>No</v>
      </c>
      <c r="ER8" s="112"/>
      <c r="ES8" s="123">
        <f>1+((DX8-MIN(industry_experiences))*(4)/(MAX(industry_experiences) - MIN(industry_experiences)))</f>
        <v>2.047619048</v>
      </c>
      <c r="ET8" s="123">
        <f>1+((DY8-MIN(previous_startups))*(4)/(MAX(previous_startups) - MIN(previous_startups)))</f>
        <v>1.444444444</v>
      </c>
      <c r="EU8" s="123">
        <f>1+((DZ8-MIN(exits))*(4)/(MAX(exits) - MIN(exits)))</f>
        <v>1</v>
      </c>
      <c r="EV8" s="119">
        <f t="shared" si="26"/>
        <v>4.492063492</v>
      </c>
      <c r="EW8" s="124">
        <f>1+((EV8-MIN(team_ratings_sums))*(4)/(MAX(team_ratings_sums) - MIN(team_ratings_sums)))</f>
        <v>1.817391304</v>
      </c>
      <c r="EX8" s="116" t="str">
        <f t="shared" si="27"/>
        <v>20 - 34</v>
      </c>
      <c r="EY8" s="125">
        <f t="shared" si="28"/>
        <v>0.2054794521</v>
      </c>
      <c r="EZ8" s="116">
        <f t="shared" si="29"/>
        <v>1</v>
      </c>
      <c r="FA8" s="125">
        <f t="shared" si="30"/>
        <v>0.4383561644</v>
      </c>
      <c r="FB8" s="116">
        <f t="shared" si="31"/>
        <v>5</v>
      </c>
      <c r="FC8" s="125">
        <f t="shared" si="32"/>
        <v>0.1369863014</v>
      </c>
      <c r="FD8" s="116" t="str">
        <f t="shared" si="33"/>
        <v>No</v>
      </c>
      <c r="FE8" s="125">
        <f t="shared" si="34"/>
        <v>0.7534246575</v>
      </c>
      <c r="FF8" s="116" t="str">
        <f t="shared" ref="FF8:FH8" si="66">BJ8</f>
        <v>No</v>
      </c>
      <c r="FG8" s="116" t="str">
        <f t="shared" si="66"/>
        <v>Yes</v>
      </c>
      <c r="FH8" s="116" t="str">
        <f t="shared" si="66"/>
        <v>No</v>
      </c>
      <c r="FI8" s="112"/>
      <c r="FJ8" s="116" t="str">
        <f t="shared" si="36"/>
        <v>Transactional</v>
      </c>
      <c r="FK8" s="125">
        <f t="shared" si="37"/>
        <v>0.602739726</v>
      </c>
      <c r="FL8" s="116" t="str">
        <f t="shared" si="38"/>
        <v>B2B</v>
      </c>
      <c r="FM8" s="125">
        <f t="shared" si="39"/>
        <v>0.2465753425</v>
      </c>
      <c r="FN8" s="116" t="str">
        <f t="shared" si="40"/>
        <v>High</v>
      </c>
      <c r="FO8" s="125">
        <f t="shared" si="41"/>
        <v>0.5616438356</v>
      </c>
      <c r="FP8" s="116" t="str">
        <f t="shared" si="42"/>
        <v>High</v>
      </c>
      <c r="FQ8" s="125">
        <f t="shared" si="43"/>
        <v>0.6438356164</v>
      </c>
      <c r="FR8" s="112"/>
      <c r="FS8" s="123">
        <f t="shared" si="44"/>
        <v>1</v>
      </c>
      <c r="FT8" s="123">
        <f t="shared" si="45"/>
        <v>1</v>
      </c>
      <c r="FU8" s="123">
        <f t="shared" si="46"/>
        <v>5</v>
      </c>
      <c r="FV8" s="123">
        <f t="shared" si="47"/>
        <v>1</v>
      </c>
      <c r="FW8" s="119">
        <f t="shared" si="48"/>
        <v>8</v>
      </c>
      <c r="FX8" s="115">
        <f>1+((FW8-MIN(performance_ratings_sums))*(4)/(MAX(performance_ratings_sums) - MIN(performance_ratings_sums)))</f>
        <v>1.485981308</v>
      </c>
      <c r="FY8" s="116" t="str">
        <f t="shared" si="49"/>
        <v>Pre-Product</v>
      </c>
      <c r="FZ8" s="126">
        <f t="shared" si="50"/>
        <v>0.2328767123</v>
      </c>
      <c r="GA8" s="112"/>
      <c r="GB8" s="127">
        <f t="shared" si="51"/>
        <v>5</v>
      </c>
      <c r="GC8" s="116" t="str">
        <f t="shared" si="52"/>
        <v>Yes</v>
      </c>
      <c r="GD8" s="126">
        <f t="shared" si="53"/>
        <v>0.2328767123</v>
      </c>
      <c r="GE8" s="126" t="str">
        <f t="shared" si="54"/>
        <v>High</v>
      </c>
      <c r="GF8" s="126">
        <f t="shared" si="55"/>
        <v>0.4520547945</v>
      </c>
      <c r="GG8" s="126" t="str">
        <f t="shared" si="56"/>
        <v>Low</v>
      </c>
      <c r="GH8" s="126">
        <f t="shared" si="57"/>
        <v>0.1917808219</v>
      </c>
      <c r="GI8" s="112"/>
      <c r="GJ8" s="116"/>
      <c r="GK8" s="119">
        <f t="shared" si="58"/>
        <v>12.30688138</v>
      </c>
      <c r="GL8" s="128">
        <f>1+((GK8-MIN(ratings_sums))*(4)/(MAX(ratings_sums) - MIN(ratings_sums)))</f>
        <v>2.568839284</v>
      </c>
    </row>
    <row r="9" ht="15.75" customHeight="1">
      <c r="A9" s="87" t="s">
        <v>427</v>
      </c>
      <c r="B9" s="88">
        <v>1782663.0</v>
      </c>
      <c r="C9" s="87" t="s">
        <v>586</v>
      </c>
      <c r="D9" s="89">
        <v>43664.54583333333</v>
      </c>
      <c r="E9" s="90" t="s">
        <v>350</v>
      </c>
      <c r="F9" s="91" t="s">
        <v>587</v>
      </c>
      <c r="G9" s="91" t="s">
        <v>588</v>
      </c>
      <c r="H9" s="92">
        <v>43664.0</v>
      </c>
      <c r="I9" s="87" t="s">
        <v>589</v>
      </c>
      <c r="J9" s="87" t="s">
        <v>586</v>
      </c>
      <c r="K9" s="90" t="s">
        <v>436</v>
      </c>
      <c r="L9" s="90" t="s">
        <v>390</v>
      </c>
      <c r="M9" s="90" t="s">
        <v>31</v>
      </c>
      <c r="N9" s="90" t="s">
        <v>32</v>
      </c>
      <c r="O9" s="90" t="s">
        <v>35</v>
      </c>
      <c r="P9" s="90"/>
      <c r="Q9" s="90" t="s">
        <v>135</v>
      </c>
      <c r="R9" s="93"/>
      <c r="S9" s="94"/>
      <c r="T9" s="96">
        <v>1.3916596E7</v>
      </c>
      <c r="U9" s="95"/>
      <c r="V9" s="129"/>
      <c r="W9" s="96" t="str">
        <f t="shared" si="3"/>
        <v/>
      </c>
      <c r="X9" s="98">
        <f t="shared" si="4"/>
        <v>13916596</v>
      </c>
      <c r="Y9" s="99" t="str">
        <f t="shared" si="5"/>
        <v>$12M - $14M</v>
      </c>
      <c r="Z9" s="90" t="s">
        <v>86</v>
      </c>
      <c r="AA9" s="90" t="s">
        <v>37</v>
      </c>
      <c r="AB9" s="90" t="s">
        <v>38</v>
      </c>
      <c r="AC9" s="90" t="s">
        <v>469</v>
      </c>
      <c r="AD9" s="100" t="s">
        <v>39</v>
      </c>
      <c r="AE9" s="100" t="s">
        <v>39</v>
      </c>
      <c r="AF9" s="90" t="s">
        <v>469</v>
      </c>
      <c r="AG9" s="101">
        <v>2.2E12</v>
      </c>
      <c r="AH9" s="97" t="str">
        <f t="shared" si="6"/>
        <v>&gt; $1T</v>
      </c>
      <c r="AI9" s="96">
        <v>1.0E8</v>
      </c>
      <c r="AJ9" s="97" t="str">
        <f t="shared" si="7"/>
        <v>$100M-$250M</v>
      </c>
      <c r="AK9" s="102">
        <v>0.035</v>
      </c>
      <c r="AL9" s="88" t="str">
        <f t="shared" si="8"/>
        <v>0%-10%</v>
      </c>
      <c r="AM9" s="88">
        <v>100.0</v>
      </c>
      <c r="AN9" s="90" t="s">
        <v>89</v>
      </c>
      <c r="AO9" s="90" t="s">
        <v>89</v>
      </c>
      <c r="AP9" s="90" t="s">
        <v>40</v>
      </c>
      <c r="AQ9" s="100" t="s">
        <v>39</v>
      </c>
      <c r="AR9" s="100" t="s">
        <v>39</v>
      </c>
      <c r="AS9" s="90" t="s">
        <v>469</v>
      </c>
      <c r="AT9" s="90" t="s">
        <v>469</v>
      </c>
      <c r="AU9" s="90" t="s">
        <v>469</v>
      </c>
      <c r="AV9" s="90" t="s">
        <v>469</v>
      </c>
      <c r="AW9" s="96">
        <v>0.0</v>
      </c>
      <c r="AX9" s="96" t="str">
        <f t="shared" si="9"/>
        <v>&lt; $10K</v>
      </c>
      <c r="AY9" s="96">
        <v>4492.0</v>
      </c>
      <c r="AZ9" s="101">
        <v>0.0</v>
      </c>
      <c r="BA9" s="103" t="str">
        <f t="shared" si="10"/>
        <v>&lt; $10K</v>
      </c>
      <c r="BB9" s="103">
        <f t="shared" si="11"/>
        <v>1</v>
      </c>
      <c r="BC9" s="103" t="str">
        <f t="shared" si="12"/>
        <v>90% - 100%</v>
      </c>
      <c r="BD9" s="90" t="s">
        <v>41</v>
      </c>
      <c r="BE9" s="90"/>
      <c r="BF9" s="90" t="s">
        <v>469</v>
      </c>
      <c r="BG9" s="88">
        <v>0.0</v>
      </c>
      <c r="BH9" s="88">
        <v>2.0</v>
      </c>
      <c r="BI9" s="90" t="s">
        <v>493</v>
      </c>
      <c r="BJ9" s="90" t="s">
        <v>469</v>
      </c>
      <c r="BK9" s="90" t="s">
        <v>469</v>
      </c>
      <c r="BL9" s="90" t="s">
        <v>469</v>
      </c>
      <c r="BM9" s="88">
        <v>3.0</v>
      </c>
      <c r="BN9" s="88">
        <v>11.0</v>
      </c>
      <c r="BO9" s="88">
        <v>0.0</v>
      </c>
      <c r="BP9" s="88">
        <v>0.0</v>
      </c>
      <c r="BQ9" s="104"/>
      <c r="BR9" s="105">
        <v>15.0</v>
      </c>
      <c r="BS9" s="105">
        <v>0.0</v>
      </c>
      <c r="BT9" s="105">
        <v>0.0</v>
      </c>
      <c r="BU9" s="105">
        <v>50.0</v>
      </c>
      <c r="BV9" s="87" t="s">
        <v>469</v>
      </c>
      <c r="BW9" s="104"/>
      <c r="BX9" s="105">
        <v>15.0</v>
      </c>
      <c r="BY9" s="105">
        <v>0.0</v>
      </c>
      <c r="BZ9" s="105">
        <v>0.0</v>
      </c>
      <c r="CA9" s="105">
        <v>50.0</v>
      </c>
      <c r="CB9" s="87" t="s">
        <v>469</v>
      </c>
      <c r="CC9" s="104"/>
      <c r="CD9" s="87"/>
      <c r="CE9" s="87"/>
      <c r="CF9" s="87"/>
      <c r="CG9" s="87"/>
      <c r="CH9" s="87"/>
      <c r="CI9" s="104"/>
      <c r="CJ9" s="87"/>
      <c r="CK9" s="87"/>
      <c r="CL9" s="87"/>
      <c r="CM9" s="87"/>
      <c r="CN9" s="87"/>
      <c r="CO9" s="104"/>
      <c r="CP9" s="87"/>
      <c r="CQ9" s="87"/>
      <c r="CR9" s="87"/>
      <c r="CS9" s="87"/>
      <c r="CT9" s="87"/>
      <c r="CU9" s="104"/>
      <c r="CV9" s="87"/>
      <c r="CW9" s="87"/>
      <c r="CX9" s="87"/>
      <c r="CY9" s="87"/>
      <c r="CZ9" s="87"/>
      <c r="DA9" s="104"/>
      <c r="DB9" s="87"/>
      <c r="DC9" s="87"/>
      <c r="DD9" s="87"/>
      <c r="DE9" s="87"/>
      <c r="DF9" s="87"/>
      <c r="DG9" s="104"/>
      <c r="DH9" s="87"/>
      <c r="DI9" s="87"/>
      <c r="DJ9" s="87"/>
      <c r="DK9" s="87"/>
      <c r="DL9" s="87"/>
      <c r="DM9" s="104"/>
      <c r="DN9" s="87"/>
      <c r="DO9" s="87"/>
      <c r="DP9" s="87"/>
      <c r="DQ9" s="87"/>
      <c r="DR9" s="87"/>
      <c r="DS9" s="130"/>
      <c r="DT9" s="108"/>
      <c r="DU9" s="108"/>
      <c r="DW9" s="109"/>
      <c r="DX9" s="110">
        <f t="shared" si="13"/>
        <v>15</v>
      </c>
      <c r="DY9" s="111">
        <f t="shared" ref="DY9:DZ9" si="67">sum(BS9,BY9,CE9,CK9,CQ9,CW9,DC9,DI9,DO9)</f>
        <v>0</v>
      </c>
      <c r="DZ9" s="111">
        <f t="shared" si="67"/>
        <v>0</v>
      </c>
      <c r="EA9" s="110">
        <f t="shared" si="15"/>
        <v>50</v>
      </c>
      <c r="EB9" s="99" t="str">
        <f t="shared" si="16"/>
        <v>35 - 54</v>
      </c>
      <c r="EC9" s="112"/>
      <c r="ED9" s="113">
        <f t="shared" si="17"/>
        <v>3.7</v>
      </c>
      <c r="EE9" s="114" t="str">
        <f>IF(V9 &lt;&gt; "", 1+((V9-MIN(discount_rates))*(4)/(MAX(discount_rates) - MIN(discount_rates))), "")</f>
        <v/>
      </c>
      <c r="EF9" s="114" t="str">
        <f>IF(Q9="Debt", (1+((S9-MIN(interest_rates))*(4)/(MAX(interest_rates) - MIN(interest_rates)))), "")</f>
        <v/>
      </c>
      <c r="EG9" s="114" t="str">
        <f>IF(OR(Q9="Revenue Share", Q9="Profit Share"), (1+((R9-MIN(return_mutiples))*(4)/(MAX(return_mutiples) - MIN(return_mutiples)))), "")</f>
        <v/>
      </c>
      <c r="EH9" s="115">
        <f t="shared" si="18"/>
        <v>3.7</v>
      </c>
      <c r="EI9" s="116" t="str">
        <f t="shared" si="19"/>
        <v>Equity - Preferred</v>
      </c>
      <c r="EJ9" s="117">
        <f t="shared" si="20"/>
        <v>0.06849315068</v>
      </c>
      <c r="EK9" s="116" t="str">
        <f t="shared" si="21"/>
        <v>Early</v>
      </c>
      <c r="EL9" s="112"/>
      <c r="EM9" s="118">
        <f t="shared" si="22"/>
        <v>1.9</v>
      </c>
      <c r="EN9" s="118">
        <f t="shared" si="23"/>
        <v>1.7</v>
      </c>
      <c r="EO9" s="119">
        <f t="shared" si="24"/>
        <v>3.6</v>
      </c>
      <c r="EP9" s="115">
        <f>1+((EO9-MIN(market_ratings_sums))*(4)/(MAX(market_ratings_sums) - MIN(market_ratings_sums)))</f>
        <v>1.631578947</v>
      </c>
      <c r="EQ9" s="116" t="str">
        <f t="shared" si="25"/>
        <v>No</v>
      </c>
      <c r="ER9" s="112"/>
      <c r="ES9" s="123">
        <f>1+((DX9-MIN(industry_experiences))*(4)/(MAX(industry_experiences) - MIN(industry_experiences)))</f>
        <v>2.428571429</v>
      </c>
      <c r="ET9" s="123">
        <f>1+((DY9-MIN(previous_startups))*(4)/(MAX(previous_startups) - MIN(previous_startups)))</f>
        <v>1</v>
      </c>
      <c r="EU9" s="123">
        <f>1+((DZ9-MIN(exits))*(4)/(MAX(exits) - MIN(exits)))</f>
        <v>1</v>
      </c>
      <c r="EV9" s="119">
        <f t="shared" si="26"/>
        <v>4.428571429</v>
      </c>
      <c r="EW9" s="124">
        <f>1+((EV9-MIN(team_ratings_sums))*(4)/(MAX(team_ratings_sums) - MIN(team_ratings_sums)))</f>
        <v>1.782608696</v>
      </c>
      <c r="EX9" s="116" t="str">
        <f t="shared" si="27"/>
        <v>35 - 54</v>
      </c>
      <c r="EY9" s="125">
        <f t="shared" si="28"/>
        <v>0.6849315068</v>
      </c>
      <c r="EZ9" s="116">
        <f t="shared" si="29"/>
        <v>2</v>
      </c>
      <c r="FA9" s="125">
        <f t="shared" si="30"/>
        <v>0.4520547945</v>
      </c>
      <c r="FB9" s="116">
        <f t="shared" si="31"/>
        <v>11</v>
      </c>
      <c r="FC9" s="125">
        <f t="shared" si="32"/>
        <v>0.02739726027</v>
      </c>
      <c r="FD9" s="116" t="str">
        <f t="shared" si="33"/>
        <v>Yes</v>
      </c>
      <c r="FE9" s="125">
        <f t="shared" si="34"/>
        <v>0.2465753425</v>
      </c>
      <c r="FF9" s="116" t="str">
        <f t="shared" ref="FF9:FH9" si="68">BJ9</f>
        <v>No</v>
      </c>
      <c r="FG9" s="116" t="str">
        <f t="shared" si="68"/>
        <v>No</v>
      </c>
      <c r="FH9" s="116" t="str">
        <f t="shared" si="68"/>
        <v>No</v>
      </c>
      <c r="FI9" s="112"/>
      <c r="FJ9" s="116" t="str">
        <f t="shared" si="36"/>
        <v>Recurring</v>
      </c>
      <c r="FK9" s="125">
        <f t="shared" si="37"/>
        <v>0.397260274</v>
      </c>
      <c r="FL9" s="116" t="str">
        <f t="shared" si="38"/>
        <v>B2B</v>
      </c>
      <c r="FM9" s="125">
        <f t="shared" si="39"/>
        <v>0.2465753425</v>
      </c>
      <c r="FN9" s="116" t="str">
        <f t="shared" si="40"/>
        <v>High</v>
      </c>
      <c r="FO9" s="125">
        <f t="shared" si="41"/>
        <v>0.5616438356</v>
      </c>
      <c r="FP9" s="116" t="str">
        <f t="shared" si="42"/>
        <v>High</v>
      </c>
      <c r="FQ9" s="125">
        <f t="shared" si="43"/>
        <v>0.6438356164</v>
      </c>
      <c r="FR9" s="112"/>
      <c r="FS9" s="123">
        <f t="shared" si="44"/>
        <v>1</v>
      </c>
      <c r="FT9" s="123">
        <f t="shared" si="45"/>
        <v>1</v>
      </c>
      <c r="FU9" s="123">
        <f t="shared" si="46"/>
        <v>1</v>
      </c>
      <c r="FV9" s="123">
        <f t="shared" si="47"/>
        <v>5</v>
      </c>
      <c r="FW9" s="119">
        <f t="shared" si="48"/>
        <v>8</v>
      </c>
      <c r="FX9" s="115">
        <f>1+((FW9-MIN(performance_ratings_sums))*(4)/(MAX(performance_ratings_sums) - MIN(performance_ratings_sums)))</f>
        <v>1.485981308</v>
      </c>
      <c r="FY9" s="116" t="str">
        <f t="shared" si="49"/>
        <v>Pre-Product</v>
      </c>
      <c r="FZ9" s="126">
        <f t="shared" si="50"/>
        <v>0.2328767123</v>
      </c>
      <c r="GA9" s="112"/>
      <c r="GB9" s="127">
        <f t="shared" si="51"/>
        <v>1</v>
      </c>
      <c r="GC9" s="116" t="str">
        <f t="shared" si="52"/>
        <v>No</v>
      </c>
      <c r="GD9" s="126">
        <f t="shared" si="53"/>
        <v>0.7671232877</v>
      </c>
      <c r="GE9" s="126" t="str">
        <f t="shared" si="54"/>
        <v>High</v>
      </c>
      <c r="GF9" s="126">
        <f t="shared" si="55"/>
        <v>0.4520547945</v>
      </c>
      <c r="GG9" s="126" t="str">
        <f t="shared" si="56"/>
        <v>High</v>
      </c>
      <c r="GH9" s="126">
        <f t="shared" si="57"/>
        <v>0.8082191781</v>
      </c>
      <c r="GI9" s="112"/>
      <c r="GJ9" s="116"/>
      <c r="GK9" s="119">
        <f t="shared" si="58"/>
        <v>9.600168951</v>
      </c>
      <c r="GL9" s="128">
        <f>1+((GK9-MIN(ratings_sums))*(4)/(MAX(ratings_sums) - MIN(ratings_sums)))</f>
        <v>1.738311729</v>
      </c>
    </row>
    <row r="10" ht="15.75" customHeight="1">
      <c r="A10" s="87" t="s">
        <v>427</v>
      </c>
      <c r="B10" s="88">
        <v>1782651.0</v>
      </c>
      <c r="C10" s="87" t="s">
        <v>590</v>
      </c>
      <c r="D10" s="89">
        <v>43664.55347222222</v>
      </c>
      <c r="E10" s="90" t="s">
        <v>381</v>
      </c>
      <c r="F10" s="91" t="s">
        <v>591</v>
      </c>
      <c r="G10" s="91" t="s">
        <v>591</v>
      </c>
      <c r="H10" s="92">
        <v>43664.0</v>
      </c>
      <c r="I10" s="87" t="s">
        <v>592</v>
      </c>
      <c r="J10" s="87" t="s">
        <v>590</v>
      </c>
      <c r="K10" s="90" t="s">
        <v>422</v>
      </c>
      <c r="L10" s="90" t="s">
        <v>390</v>
      </c>
      <c r="M10" s="90" t="s">
        <v>31</v>
      </c>
      <c r="N10" s="90" t="s">
        <v>32</v>
      </c>
      <c r="O10" s="90" t="s">
        <v>35</v>
      </c>
      <c r="P10" s="90"/>
      <c r="Q10" s="90" t="s">
        <v>121</v>
      </c>
      <c r="R10" s="93"/>
      <c r="S10" s="94"/>
      <c r="T10" s="96">
        <v>8000000.0</v>
      </c>
      <c r="U10" s="95"/>
      <c r="V10" s="129"/>
      <c r="W10" s="96" t="str">
        <f t="shared" si="3"/>
        <v/>
      </c>
      <c r="X10" s="98">
        <f t="shared" si="4"/>
        <v>8000000</v>
      </c>
      <c r="Y10" s="99" t="str">
        <f t="shared" si="5"/>
        <v>$6M - $8M</v>
      </c>
      <c r="Z10" s="90" t="s">
        <v>36</v>
      </c>
      <c r="AA10" s="90" t="s">
        <v>87</v>
      </c>
      <c r="AB10" s="90" t="s">
        <v>38</v>
      </c>
      <c r="AC10" s="90" t="s">
        <v>469</v>
      </c>
      <c r="AD10" s="100" t="s">
        <v>39</v>
      </c>
      <c r="AE10" s="100" t="s">
        <v>39</v>
      </c>
      <c r="AF10" s="90" t="s">
        <v>469</v>
      </c>
      <c r="AG10" s="101">
        <v>1.0E9</v>
      </c>
      <c r="AH10" s="97" t="str">
        <f t="shared" si="6"/>
        <v>$1B-$5B</v>
      </c>
      <c r="AI10" s="96">
        <v>4.0E8</v>
      </c>
      <c r="AJ10" s="97" t="str">
        <f t="shared" si="7"/>
        <v>$250M-$500M</v>
      </c>
      <c r="AK10" s="102">
        <v>0.03</v>
      </c>
      <c r="AL10" s="88" t="str">
        <f t="shared" si="8"/>
        <v>0%-10%</v>
      </c>
      <c r="AM10" s="88">
        <v>10.0</v>
      </c>
      <c r="AN10" s="100" t="s">
        <v>39</v>
      </c>
      <c r="AO10" s="90" t="s">
        <v>89</v>
      </c>
      <c r="AP10" s="90" t="s">
        <v>40</v>
      </c>
      <c r="AQ10" s="87" t="s">
        <v>89</v>
      </c>
      <c r="AR10" s="100" t="s">
        <v>39</v>
      </c>
      <c r="AS10" s="90" t="s">
        <v>469</v>
      </c>
      <c r="AT10" s="90" t="s">
        <v>493</v>
      </c>
      <c r="AU10" s="90" t="s">
        <v>469</v>
      </c>
      <c r="AV10" s="90" t="s">
        <v>493</v>
      </c>
      <c r="AW10" s="96">
        <v>2183575.0</v>
      </c>
      <c r="AX10" s="96" t="str">
        <f t="shared" si="9"/>
        <v>$2M - $3M</v>
      </c>
      <c r="AY10" s="96">
        <v>21203.0</v>
      </c>
      <c r="AZ10" s="101">
        <v>0.0</v>
      </c>
      <c r="BA10" s="103" t="str">
        <f t="shared" si="10"/>
        <v>&lt; $10K</v>
      </c>
      <c r="BB10" s="103">
        <f t="shared" si="11"/>
        <v>1</v>
      </c>
      <c r="BC10" s="103" t="str">
        <f t="shared" si="12"/>
        <v>90% - 100%</v>
      </c>
      <c r="BD10" s="90" t="s">
        <v>124</v>
      </c>
      <c r="BE10" s="90"/>
      <c r="BF10" s="90" t="s">
        <v>493</v>
      </c>
      <c r="BG10" s="88">
        <v>1.0</v>
      </c>
      <c r="BH10" s="88">
        <v>2.0</v>
      </c>
      <c r="BI10" s="90" t="s">
        <v>469</v>
      </c>
      <c r="BJ10" s="90" t="s">
        <v>493</v>
      </c>
      <c r="BK10" s="90" t="s">
        <v>469</v>
      </c>
      <c r="BL10" s="90" t="s">
        <v>469</v>
      </c>
      <c r="BM10" s="88">
        <v>1.0</v>
      </c>
      <c r="BN10" s="88">
        <v>14.0</v>
      </c>
      <c r="BO10" s="88">
        <v>1.0</v>
      </c>
      <c r="BP10" s="88">
        <v>0.0</v>
      </c>
      <c r="BQ10" s="104"/>
      <c r="BR10" s="105">
        <v>0.0</v>
      </c>
      <c r="BS10" s="105">
        <v>2.0</v>
      </c>
      <c r="BT10" s="105">
        <v>0.0</v>
      </c>
      <c r="BU10" s="105">
        <v>48.0</v>
      </c>
      <c r="BV10" s="87" t="s">
        <v>469</v>
      </c>
      <c r="BW10" s="104"/>
      <c r="BX10" s="105">
        <v>0.0</v>
      </c>
      <c r="BY10" s="105">
        <v>0.0</v>
      </c>
      <c r="BZ10" s="105">
        <v>0.0</v>
      </c>
      <c r="CA10" s="105">
        <v>17.0</v>
      </c>
      <c r="CB10" s="87" t="s">
        <v>469</v>
      </c>
      <c r="CC10" s="104"/>
      <c r="CD10" s="87"/>
      <c r="CE10" s="87"/>
      <c r="CF10" s="87"/>
      <c r="CG10" s="87"/>
      <c r="CH10" s="87"/>
      <c r="CI10" s="104"/>
      <c r="CJ10" s="87"/>
      <c r="CK10" s="87"/>
      <c r="CL10" s="87"/>
      <c r="CM10" s="87"/>
      <c r="CN10" s="87"/>
      <c r="CO10" s="104"/>
      <c r="CP10" s="87"/>
      <c r="CQ10" s="87"/>
      <c r="CR10" s="87"/>
      <c r="CS10" s="87"/>
      <c r="CT10" s="87"/>
      <c r="CU10" s="104"/>
      <c r="CV10" s="87"/>
      <c r="CW10" s="87"/>
      <c r="CX10" s="87"/>
      <c r="CY10" s="87"/>
      <c r="CZ10" s="87"/>
      <c r="DA10" s="104"/>
      <c r="DB10" s="87"/>
      <c r="DC10" s="87"/>
      <c r="DD10" s="87"/>
      <c r="DE10" s="87"/>
      <c r="DF10" s="87"/>
      <c r="DG10" s="104"/>
      <c r="DH10" s="87"/>
      <c r="DI10" s="87"/>
      <c r="DJ10" s="87"/>
      <c r="DK10" s="87"/>
      <c r="DL10" s="87"/>
      <c r="DM10" s="104"/>
      <c r="DN10" s="87"/>
      <c r="DO10" s="87"/>
      <c r="DP10" s="87"/>
      <c r="DQ10" s="87"/>
      <c r="DR10" s="87"/>
      <c r="DS10" s="130"/>
      <c r="DT10" s="108"/>
      <c r="DU10" s="108"/>
      <c r="DW10" s="109"/>
      <c r="DX10" s="110">
        <f t="shared" si="13"/>
        <v>0</v>
      </c>
      <c r="DY10" s="111">
        <f t="shared" ref="DY10:DZ10" si="69">sum(BS10,BY10,CE10,CK10,CQ10,CW10,DC10,DI10,DO10)</f>
        <v>2</v>
      </c>
      <c r="DZ10" s="111">
        <f t="shared" si="69"/>
        <v>0</v>
      </c>
      <c r="EA10" s="110">
        <f t="shared" si="15"/>
        <v>32.5</v>
      </c>
      <c r="EB10" s="99" t="str">
        <f t="shared" si="16"/>
        <v>20 - 34</v>
      </c>
      <c r="EC10" s="112"/>
      <c r="ED10" s="113">
        <f t="shared" si="17"/>
        <v>4.2</v>
      </c>
      <c r="EE10" s="114" t="str">
        <f>IF(V10 &lt;&gt; "", 1+((V10-MIN(discount_rates))*(4)/(MAX(discount_rates) - MIN(discount_rates))), "")</f>
        <v/>
      </c>
      <c r="EF10" s="114" t="str">
        <f>IF(Q10="Debt", (1+((S10-MIN(interest_rates))*(4)/(MAX(interest_rates) - MIN(interest_rates)))), "")</f>
        <v/>
      </c>
      <c r="EG10" s="114" t="str">
        <f>IF(OR(Q10="Revenue Share", Q10="Profit Share"), (1+((R10-MIN(return_mutiples))*(4)/(MAX(return_mutiples) - MIN(return_mutiples)))), "")</f>
        <v/>
      </c>
      <c r="EH10" s="115">
        <f t="shared" si="18"/>
        <v>4.2</v>
      </c>
      <c r="EI10" s="116" t="str">
        <f t="shared" si="19"/>
        <v>Equity - Common</v>
      </c>
      <c r="EJ10" s="117">
        <f t="shared" si="20"/>
        <v>0.3287671233</v>
      </c>
      <c r="EK10" s="116" t="str">
        <f t="shared" si="21"/>
        <v>Early</v>
      </c>
      <c r="EL10" s="112"/>
      <c r="EM10" s="118">
        <f t="shared" si="22"/>
        <v>2.1</v>
      </c>
      <c r="EN10" s="118">
        <f t="shared" si="23"/>
        <v>1.7</v>
      </c>
      <c r="EO10" s="119">
        <f t="shared" si="24"/>
        <v>3.8</v>
      </c>
      <c r="EP10" s="115">
        <f>1+((EO10-MIN(market_ratings_sums))*(4)/(MAX(market_ratings_sums) - MIN(market_ratings_sums)))</f>
        <v>1.771929825</v>
      </c>
      <c r="EQ10" s="116" t="str">
        <f t="shared" si="25"/>
        <v>No</v>
      </c>
      <c r="ER10" s="112"/>
      <c r="ES10" s="123">
        <f>1+((DX10-MIN(industry_experiences))*(4)/(MAX(industry_experiences) - MIN(industry_experiences)))</f>
        <v>1</v>
      </c>
      <c r="ET10" s="123">
        <f>1+((DY10-MIN(previous_startups))*(4)/(MAX(previous_startups) - MIN(previous_startups)))</f>
        <v>1.888888889</v>
      </c>
      <c r="EU10" s="123">
        <f>1+((DZ10-MIN(exits))*(4)/(MAX(exits) - MIN(exits)))</f>
        <v>1</v>
      </c>
      <c r="EV10" s="119">
        <f t="shared" si="26"/>
        <v>3.888888889</v>
      </c>
      <c r="EW10" s="124">
        <f>1+((EV10-MIN(team_ratings_sums))*(4)/(MAX(team_ratings_sums) - MIN(team_ratings_sums)))</f>
        <v>1.486956522</v>
      </c>
      <c r="EX10" s="116" t="str">
        <f t="shared" si="27"/>
        <v>20 - 34</v>
      </c>
      <c r="EY10" s="125">
        <f t="shared" si="28"/>
        <v>0.2054794521</v>
      </c>
      <c r="EZ10" s="116">
        <f t="shared" si="29"/>
        <v>2</v>
      </c>
      <c r="FA10" s="125">
        <f t="shared" si="30"/>
        <v>0.4520547945</v>
      </c>
      <c r="FB10" s="116">
        <f t="shared" si="31"/>
        <v>14</v>
      </c>
      <c r="FC10" s="125">
        <f t="shared" si="32"/>
        <v>0.02739726027</v>
      </c>
      <c r="FD10" s="116" t="str">
        <f t="shared" si="33"/>
        <v>No</v>
      </c>
      <c r="FE10" s="125">
        <f t="shared" si="34"/>
        <v>0.7534246575</v>
      </c>
      <c r="FF10" s="116" t="str">
        <f t="shared" ref="FF10:FH10" si="70">BJ10</f>
        <v>Yes</v>
      </c>
      <c r="FG10" s="116" t="str">
        <f t="shared" si="70"/>
        <v>No</v>
      </c>
      <c r="FH10" s="116" t="str">
        <f t="shared" si="70"/>
        <v>No</v>
      </c>
      <c r="FI10" s="112"/>
      <c r="FJ10" s="116" t="str">
        <f t="shared" si="36"/>
        <v>Transactional</v>
      </c>
      <c r="FK10" s="125">
        <f t="shared" si="37"/>
        <v>0.602739726</v>
      </c>
      <c r="FL10" s="116" t="str">
        <f t="shared" si="38"/>
        <v>B2C</v>
      </c>
      <c r="FM10" s="125">
        <f t="shared" si="39"/>
        <v>0.397260274</v>
      </c>
      <c r="FN10" s="116" t="str">
        <f t="shared" si="40"/>
        <v>High</v>
      </c>
      <c r="FO10" s="125">
        <f t="shared" si="41"/>
        <v>0.5616438356</v>
      </c>
      <c r="FP10" s="116" t="str">
        <f t="shared" si="42"/>
        <v>High</v>
      </c>
      <c r="FQ10" s="125">
        <f t="shared" si="43"/>
        <v>0.6438356164</v>
      </c>
      <c r="FR10" s="112"/>
      <c r="FS10" s="123">
        <f t="shared" si="44"/>
        <v>5</v>
      </c>
      <c r="FT10" s="123">
        <f t="shared" si="45"/>
        <v>3.7</v>
      </c>
      <c r="FU10" s="123">
        <f t="shared" si="46"/>
        <v>1</v>
      </c>
      <c r="FV10" s="123">
        <f t="shared" si="47"/>
        <v>5</v>
      </c>
      <c r="FW10" s="119">
        <f t="shared" si="48"/>
        <v>14.7</v>
      </c>
      <c r="FX10" s="115">
        <f>1+((FW10-MIN(performance_ratings_sums))*(4)/(MAX(performance_ratings_sums) - MIN(performance_ratings_sums)))</f>
        <v>3.990654206</v>
      </c>
      <c r="FY10" s="116" t="str">
        <f t="shared" si="49"/>
        <v>Profitable</v>
      </c>
      <c r="FZ10" s="126">
        <f t="shared" si="50"/>
        <v>0.06849315068</v>
      </c>
      <c r="GA10" s="112"/>
      <c r="GB10" s="127">
        <f t="shared" si="51"/>
        <v>3</v>
      </c>
      <c r="GC10" s="116" t="str">
        <f t="shared" si="52"/>
        <v>Yes</v>
      </c>
      <c r="GD10" s="126">
        <f t="shared" si="53"/>
        <v>0.2328767123</v>
      </c>
      <c r="GE10" s="126" t="str">
        <f t="shared" si="54"/>
        <v>Low</v>
      </c>
      <c r="GF10" s="126">
        <f t="shared" si="55"/>
        <v>0.5479452055</v>
      </c>
      <c r="GG10" s="126" t="str">
        <f t="shared" si="56"/>
        <v>High</v>
      </c>
      <c r="GH10" s="126">
        <f t="shared" si="57"/>
        <v>0.8082191781</v>
      </c>
      <c r="GI10" s="112"/>
      <c r="GJ10" s="116"/>
      <c r="GK10" s="119">
        <f t="shared" si="58"/>
        <v>14.44954055</v>
      </c>
      <c r="GL10" s="128">
        <f>1+((GK10-MIN(ratings_sums))*(4)/(MAX(ratings_sums) - MIN(ratings_sums)))</f>
        <v>3.226292753</v>
      </c>
    </row>
    <row r="11" ht="15.75" customHeight="1">
      <c r="A11" s="87" t="s">
        <v>427</v>
      </c>
      <c r="B11" s="88">
        <v>1781955.0</v>
      </c>
      <c r="C11" s="87" t="s">
        <v>593</v>
      </c>
      <c r="D11" s="89">
        <v>43675.825694444444</v>
      </c>
      <c r="E11" s="90" t="s">
        <v>350</v>
      </c>
      <c r="F11" s="91" t="s">
        <v>594</v>
      </c>
      <c r="G11" s="91" t="s">
        <v>595</v>
      </c>
      <c r="H11" s="92">
        <v>43675.0</v>
      </c>
      <c r="I11" s="87" t="s">
        <v>596</v>
      </c>
      <c r="J11" s="87" t="s">
        <v>593</v>
      </c>
      <c r="K11" s="90" t="s">
        <v>419</v>
      </c>
      <c r="L11" s="90" t="s">
        <v>355</v>
      </c>
      <c r="M11" s="90" t="s">
        <v>31</v>
      </c>
      <c r="N11" s="90" t="s">
        <v>32</v>
      </c>
      <c r="O11" s="90" t="s">
        <v>35</v>
      </c>
      <c r="P11" s="90"/>
      <c r="Q11" s="90" t="s">
        <v>121</v>
      </c>
      <c r="R11" s="93"/>
      <c r="S11" s="94"/>
      <c r="T11" s="96">
        <v>1.6E7</v>
      </c>
      <c r="U11" s="95"/>
      <c r="V11" s="129"/>
      <c r="W11" s="96" t="str">
        <f t="shared" si="3"/>
        <v/>
      </c>
      <c r="X11" s="98">
        <f t="shared" si="4"/>
        <v>16000000</v>
      </c>
      <c r="Y11" s="99" t="str">
        <f t="shared" si="5"/>
        <v>$14M - $16M</v>
      </c>
      <c r="Z11" s="90" t="s">
        <v>36</v>
      </c>
      <c r="AA11" s="90" t="s">
        <v>87</v>
      </c>
      <c r="AB11" s="90" t="s">
        <v>38</v>
      </c>
      <c r="AC11" s="90" t="s">
        <v>469</v>
      </c>
      <c r="AD11" s="90" t="s">
        <v>89</v>
      </c>
      <c r="AE11" s="100" t="s">
        <v>39</v>
      </c>
      <c r="AF11" s="90" t="s">
        <v>469</v>
      </c>
      <c r="AG11" s="101">
        <v>1.052E10</v>
      </c>
      <c r="AH11" s="97" t="str">
        <f t="shared" si="6"/>
        <v>$10B-$25B</v>
      </c>
      <c r="AI11" s="96">
        <v>2.63E7</v>
      </c>
      <c r="AJ11" s="97" t="str">
        <f t="shared" si="7"/>
        <v>$25M-$50M</v>
      </c>
      <c r="AK11" s="102">
        <v>0.059</v>
      </c>
      <c r="AL11" s="88" t="str">
        <f t="shared" si="8"/>
        <v>0%-10%</v>
      </c>
      <c r="AM11" s="88">
        <v>10.0</v>
      </c>
      <c r="AN11" s="90" t="s">
        <v>89</v>
      </c>
      <c r="AO11" s="90" t="s">
        <v>89</v>
      </c>
      <c r="AP11" s="90" t="s">
        <v>40</v>
      </c>
      <c r="AQ11" s="87" t="s">
        <v>89</v>
      </c>
      <c r="AR11" s="100" t="s">
        <v>39</v>
      </c>
      <c r="AS11" s="90" t="s">
        <v>469</v>
      </c>
      <c r="AT11" s="90" t="s">
        <v>493</v>
      </c>
      <c r="AU11" s="90" t="s">
        <v>469</v>
      </c>
      <c r="AV11" s="90" t="s">
        <v>469</v>
      </c>
      <c r="AW11" s="96">
        <v>0.0</v>
      </c>
      <c r="AX11" s="96" t="str">
        <f t="shared" si="9"/>
        <v>&lt; $10K</v>
      </c>
      <c r="AY11" s="96">
        <v>0.0</v>
      </c>
      <c r="AZ11" s="101">
        <v>0.0</v>
      </c>
      <c r="BA11" s="103" t="str">
        <f t="shared" si="10"/>
        <v>&lt; $10K</v>
      </c>
      <c r="BB11" s="103">
        <f t="shared" si="11"/>
        <v>1</v>
      </c>
      <c r="BC11" s="103" t="str">
        <f t="shared" si="12"/>
        <v>90% - 100%</v>
      </c>
      <c r="BD11" s="90" t="s">
        <v>91</v>
      </c>
      <c r="BE11" s="90"/>
      <c r="BF11" s="90" t="s">
        <v>493</v>
      </c>
      <c r="BG11" s="88">
        <v>3.0</v>
      </c>
      <c r="BH11" s="88">
        <v>1.0</v>
      </c>
      <c r="BI11" s="90" t="s">
        <v>469</v>
      </c>
      <c r="BJ11" s="90" t="s">
        <v>469</v>
      </c>
      <c r="BK11" s="90" t="s">
        <v>493</v>
      </c>
      <c r="BL11" s="90" t="s">
        <v>469</v>
      </c>
      <c r="BM11" s="88">
        <v>1.0</v>
      </c>
      <c r="BN11" s="88">
        <v>7.0</v>
      </c>
      <c r="BO11" s="88">
        <v>1.0</v>
      </c>
      <c r="BP11" s="88">
        <v>0.0</v>
      </c>
      <c r="BQ11" s="104"/>
      <c r="BR11" s="105">
        <v>20.0</v>
      </c>
      <c r="BS11" s="105">
        <v>0.0</v>
      </c>
      <c r="BT11" s="105">
        <v>0.0</v>
      </c>
      <c r="BU11" s="105">
        <v>55.0</v>
      </c>
      <c r="BV11" s="87" t="s">
        <v>469</v>
      </c>
      <c r="BW11" s="104"/>
      <c r="BX11" s="87"/>
      <c r="BY11" s="87"/>
      <c r="BZ11" s="87"/>
      <c r="CA11" s="87"/>
      <c r="CB11" s="87"/>
      <c r="CC11" s="104"/>
      <c r="CD11" s="87"/>
      <c r="CE11" s="87"/>
      <c r="CF11" s="87"/>
      <c r="CG11" s="87"/>
      <c r="CH11" s="87"/>
      <c r="CI11" s="104"/>
      <c r="CJ11" s="87"/>
      <c r="CK11" s="87"/>
      <c r="CL11" s="87"/>
      <c r="CM11" s="87"/>
      <c r="CN11" s="87"/>
      <c r="CO11" s="104"/>
      <c r="CP11" s="105"/>
      <c r="CQ11" s="105"/>
      <c r="CR11" s="105"/>
      <c r="CS11" s="87"/>
      <c r="CT11" s="87"/>
      <c r="CU11" s="104"/>
      <c r="CV11" s="105"/>
      <c r="CW11" s="105"/>
      <c r="CX11" s="105"/>
      <c r="CY11" s="87"/>
      <c r="CZ11" s="87"/>
      <c r="DA11" s="104"/>
      <c r="DB11" s="105"/>
      <c r="DC11" s="105"/>
      <c r="DD11" s="105"/>
      <c r="DE11" s="87"/>
      <c r="DF11" s="87"/>
      <c r="DG11" s="104"/>
      <c r="DH11" s="105"/>
      <c r="DI11" s="105"/>
      <c r="DJ11" s="105"/>
      <c r="DK11" s="87"/>
      <c r="DL11" s="87"/>
      <c r="DM11" s="104"/>
      <c r="DN11" s="105"/>
      <c r="DO11" s="105"/>
      <c r="DP11" s="105"/>
      <c r="DQ11" s="87"/>
      <c r="DR11" s="87"/>
      <c r="DS11" s="130"/>
      <c r="DT11" s="108"/>
      <c r="DU11" s="108"/>
      <c r="DW11" s="109"/>
      <c r="DX11" s="110">
        <f t="shared" si="13"/>
        <v>20</v>
      </c>
      <c r="DY11" s="111">
        <f t="shared" ref="DY11:DZ11" si="71">sum(BS11,BY11,CE11,CK11,CQ11,CW11,DC11,DI11,DO11)</f>
        <v>0</v>
      </c>
      <c r="DZ11" s="111">
        <f t="shared" si="71"/>
        <v>0</v>
      </c>
      <c r="EA11" s="110">
        <f t="shared" si="15"/>
        <v>55</v>
      </c>
      <c r="EB11" s="99" t="str">
        <f t="shared" si="16"/>
        <v>55+</v>
      </c>
      <c r="EC11" s="112"/>
      <c r="ED11" s="113">
        <f t="shared" si="17"/>
        <v>3.5</v>
      </c>
      <c r="EE11" s="114" t="str">
        <f>IF(V11 &lt;&gt; "", 1+((V11-MIN(discount_rates))*(4)/(MAX(discount_rates) - MIN(discount_rates))), "")</f>
        <v/>
      </c>
      <c r="EF11" s="114" t="str">
        <f>IF(Q11="Debt", (1+((S11-MIN(interest_rates))*(4)/(MAX(interest_rates) - MIN(interest_rates)))), "")</f>
        <v/>
      </c>
      <c r="EG11" s="114" t="str">
        <f>IF(OR(Q11="Revenue Share", Q11="Profit Share"), (1+((R11-MIN(return_mutiples))*(4)/(MAX(return_mutiples) - MIN(return_mutiples)))), "")</f>
        <v/>
      </c>
      <c r="EH11" s="115">
        <f t="shared" si="18"/>
        <v>3.5</v>
      </c>
      <c r="EI11" s="116" t="str">
        <f t="shared" si="19"/>
        <v>Equity - Common</v>
      </c>
      <c r="EJ11" s="117">
        <f t="shared" si="20"/>
        <v>0.3287671233</v>
      </c>
      <c r="EK11" s="116" t="str">
        <f t="shared" si="21"/>
        <v>Early</v>
      </c>
      <c r="EL11" s="112"/>
      <c r="EM11" s="118">
        <f t="shared" si="22"/>
        <v>1.3</v>
      </c>
      <c r="EN11" s="118">
        <f t="shared" si="23"/>
        <v>1.7</v>
      </c>
      <c r="EO11" s="119">
        <f t="shared" si="24"/>
        <v>3</v>
      </c>
      <c r="EP11" s="115">
        <f>1+((EO11-MIN(market_ratings_sums))*(4)/(MAX(market_ratings_sums) - MIN(market_ratings_sums)))</f>
        <v>1.210526316</v>
      </c>
      <c r="EQ11" s="116" t="str">
        <f t="shared" si="25"/>
        <v>No</v>
      </c>
      <c r="ER11" s="112"/>
      <c r="ES11" s="123">
        <f>1+((DX11-MIN(industry_experiences))*(4)/(MAX(industry_experiences) - MIN(industry_experiences)))</f>
        <v>2.904761905</v>
      </c>
      <c r="ET11" s="123">
        <f>1+((DY11-MIN(previous_startups))*(4)/(MAX(previous_startups) - MIN(previous_startups)))</f>
        <v>1</v>
      </c>
      <c r="EU11" s="123">
        <f>1+((DZ11-MIN(exits))*(4)/(MAX(exits) - MIN(exits)))</f>
        <v>1</v>
      </c>
      <c r="EV11" s="119">
        <f t="shared" si="26"/>
        <v>4.904761905</v>
      </c>
      <c r="EW11" s="124">
        <f>1+((EV11-MIN(team_ratings_sums))*(4)/(MAX(team_ratings_sums) - MIN(team_ratings_sums)))</f>
        <v>2.043478261</v>
      </c>
      <c r="EX11" s="116" t="str">
        <f t="shared" si="27"/>
        <v>55+</v>
      </c>
      <c r="EY11" s="125">
        <f t="shared" si="28"/>
        <v>0.1095890411</v>
      </c>
      <c r="EZ11" s="116">
        <f t="shared" si="29"/>
        <v>1</v>
      </c>
      <c r="FA11" s="125">
        <f t="shared" si="30"/>
        <v>0.4383561644</v>
      </c>
      <c r="FB11" s="116">
        <f t="shared" si="31"/>
        <v>7</v>
      </c>
      <c r="FC11" s="125">
        <f t="shared" si="32"/>
        <v>0.04109589041</v>
      </c>
      <c r="FD11" s="116" t="str">
        <f t="shared" si="33"/>
        <v>No</v>
      </c>
      <c r="FE11" s="125">
        <f t="shared" si="34"/>
        <v>0.7534246575</v>
      </c>
      <c r="FF11" s="116" t="str">
        <f t="shared" ref="FF11:FH11" si="72">BJ11</f>
        <v>No</v>
      </c>
      <c r="FG11" s="116" t="str">
        <f t="shared" si="72"/>
        <v>Yes</v>
      </c>
      <c r="FH11" s="116" t="str">
        <f t="shared" si="72"/>
        <v>No</v>
      </c>
      <c r="FI11" s="112"/>
      <c r="FJ11" s="116" t="str">
        <f t="shared" si="36"/>
        <v>Transactional</v>
      </c>
      <c r="FK11" s="125">
        <f t="shared" si="37"/>
        <v>0.602739726</v>
      </c>
      <c r="FL11" s="116" t="str">
        <f t="shared" si="38"/>
        <v>B2C</v>
      </c>
      <c r="FM11" s="125">
        <f t="shared" si="39"/>
        <v>0.397260274</v>
      </c>
      <c r="FN11" s="116" t="str">
        <f t="shared" si="40"/>
        <v>Low</v>
      </c>
      <c r="FO11" s="125">
        <f t="shared" si="41"/>
        <v>0.4383561644</v>
      </c>
      <c r="FP11" s="116" t="str">
        <f t="shared" si="42"/>
        <v>High</v>
      </c>
      <c r="FQ11" s="125">
        <f t="shared" si="43"/>
        <v>0.6438356164</v>
      </c>
      <c r="FR11" s="112"/>
      <c r="FS11" s="123">
        <f t="shared" si="44"/>
        <v>1</v>
      </c>
      <c r="FT11" s="123">
        <f t="shared" si="45"/>
        <v>1</v>
      </c>
      <c r="FU11" s="123">
        <f t="shared" si="46"/>
        <v>1</v>
      </c>
      <c r="FV11" s="123">
        <f t="shared" si="47"/>
        <v>5</v>
      </c>
      <c r="FW11" s="119">
        <f t="shared" si="48"/>
        <v>8</v>
      </c>
      <c r="FX11" s="115">
        <f>1+((FW11-MIN(performance_ratings_sums))*(4)/(MAX(performance_ratings_sums) - MIN(performance_ratings_sums)))</f>
        <v>1.485981308</v>
      </c>
      <c r="FY11" s="116" t="str">
        <f t="shared" si="49"/>
        <v>Pre-Revenue</v>
      </c>
      <c r="FZ11" s="126">
        <f t="shared" si="50"/>
        <v>0.2054794521</v>
      </c>
      <c r="GA11" s="112"/>
      <c r="GB11" s="127">
        <f t="shared" si="51"/>
        <v>1</v>
      </c>
      <c r="GC11" s="116" t="str">
        <f t="shared" si="52"/>
        <v>Yes</v>
      </c>
      <c r="GD11" s="126">
        <f t="shared" si="53"/>
        <v>0.2328767123</v>
      </c>
      <c r="GE11" s="126" t="str">
        <f t="shared" si="54"/>
        <v>Low</v>
      </c>
      <c r="GF11" s="126">
        <f t="shared" si="55"/>
        <v>0.5479452055</v>
      </c>
      <c r="GG11" s="126" t="str">
        <f t="shared" si="56"/>
        <v>High</v>
      </c>
      <c r="GH11" s="126">
        <f t="shared" si="57"/>
        <v>0.8082191781</v>
      </c>
      <c r="GI11" s="112"/>
      <c r="GJ11" s="116"/>
      <c r="GK11" s="119">
        <f t="shared" si="58"/>
        <v>9.239985885</v>
      </c>
      <c r="GL11" s="128">
        <f>1+((GK11-MIN(ratings_sums))*(4)/(MAX(ratings_sums) - MIN(ratings_sums)))</f>
        <v>1.627793169</v>
      </c>
    </row>
    <row r="12" ht="15.75" customHeight="1">
      <c r="A12" s="87" t="s">
        <v>427</v>
      </c>
      <c r="B12" s="88">
        <v>1706939.0</v>
      </c>
      <c r="C12" s="87" t="s">
        <v>597</v>
      </c>
      <c r="D12" s="89">
        <v>43682.80763888889</v>
      </c>
      <c r="E12" s="90" t="s">
        <v>386</v>
      </c>
      <c r="F12" s="91" t="s">
        <v>598</v>
      </c>
      <c r="G12" s="91" t="s">
        <v>599</v>
      </c>
      <c r="H12" s="92">
        <v>43678.0</v>
      </c>
      <c r="I12" s="87" t="s">
        <v>600</v>
      </c>
      <c r="J12" s="87" t="s">
        <v>597</v>
      </c>
      <c r="K12" s="90" t="s">
        <v>445</v>
      </c>
      <c r="L12" s="90" t="s">
        <v>221</v>
      </c>
      <c r="M12" s="90" t="s">
        <v>31</v>
      </c>
      <c r="N12" s="90" t="s">
        <v>32</v>
      </c>
      <c r="O12" s="90" t="s">
        <v>35</v>
      </c>
      <c r="P12" s="90"/>
      <c r="Q12" s="90" t="s">
        <v>121</v>
      </c>
      <c r="R12" s="93"/>
      <c r="S12" s="94"/>
      <c r="T12" s="96">
        <v>1.7507365E7</v>
      </c>
      <c r="U12" s="95"/>
      <c r="V12" s="129"/>
      <c r="W12" s="96" t="str">
        <f t="shared" si="3"/>
        <v/>
      </c>
      <c r="X12" s="98">
        <f t="shared" si="4"/>
        <v>17507365</v>
      </c>
      <c r="Y12" s="99" t="str">
        <f t="shared" si="5"/>
        <v>$16M - $18M</v>
      </c>
      <c r="Z12" s="90" t="s">
        <v>36</v>
      </c>
      <c r="AA12" s="90" t="s">
        <v>87</v>
      </c>
      <c r="AB12" s="100" t="s">
        <v>88</v>
      </c>
      <c r="AC12" s="90" t="s">
        <v>493</v>
      </c>
      <c r="AD12" s="90" t="s">
        <v>89</v>
      </c>
      <c r="AE12" s="90" t="s">
        <v>89</v>
      </c>
      <c r="AF12" s="90" t="s">
        <v>469</v>
      </c>
      <c r="AG12" s="101">
        <v>1.02E10</v>
      </c>
      <c r="AH12" s="97" t="str">
        <f t="shared" si="6"/>
        <v>$10B-$25B</v>
      </c>
      <c r="AI12" s="96">
        <v>7.816E8</v>
      </c>
      <c r="AJ12" s="97" t="str">
        <f t="shared" si="7"/>
        <v>$500M-$1B</v>
      </c>
      <c r="AK12" s="102">
        <v>0.054</v>
      </c>
      <c r="AL12" s="88" t="str">
        <f t="shared" si="8"/>
        <v>0%-10%</v>
      </c>
      <c r="AM12" s="88">
        <v>12.0</v>
      </c>
      <c r="AN12" s="90" t="s">
        <v>89</v>
      </c>
      <c r="AO12" s="90" t="s">
        <v>89</v>
      </c>
      <c r="AP12" s="90" t="s">
        <v>106</v>
      </c>
      <c r="AQ12" s="87" t="s">
        <v>89</v>
      </c>
      <c r="AR12" s="100" t="s">
        <v>39</v>
      </c>
      <c r="AS12" s="90" t="s">
        <v>493</v>
      </c>
      <c r="AT12" s="90" t="s">
        <v>493</v>
      </c>
      <c r="AU12" s="90" t="s">
        <v>493</v>
      </c>
      <c r="AV12" s="90" t="s">
        <v>493</v>
      </c>
      <c r="AW12" s="96">
        <v>1258601.0</v>
      </c>
      <c r="AX12" s="96" t="str">
        <f t="shared" si="9"/>
        <v>$1M - $2M</v>
      </c>
      <c r="AY12" s="96">
        <v>4281.17</v>
      </c>
      <c r="AZ12" s="101">
        <v>0.0</v>
      </c>
      <c r="BA12" s="103" t="str">
        <f t="shared" si="10"/>
        <v>&lt; $10K</v>
      </c>
      <c r="BB12" s="103">
        <f t="shared" si="11"/>
        <v>1</v>
      </c>
      <c r="BC12" s="103" t="str">
        <f t="shared" si="12"/>
        <v>90% - 100%</v>
      </c>
      <c r="BD12" s="90" t="s">
        <v>107</v>
      </c>
      <c r="BE12" s="90"/>
      <c r="BF12" s="90" t="s">
        <v>469</v>
      </c>
      <c r="BG12" s="88">
        <v>0.0</v>
      </c>
      <c r="BH12" s="88">
        <v>1.0</v>
      </c>
      <c r="BI12" s="90" t="s">
        <v>469</v>
      </c>
      <c r="BJ12" s="90" t="s">
        <v>469</v>
      </c>
      <c r="BK12" s="90" t="s">
        <v>469</v>
      </c>
      <c r="BL12" s="90" t="s">
        <v>469</v>
      </c>
      <c r="BM12" s="88">
        <v>0.0</v>
      </c>
      <c r="BN12" s="88">
        <v>19.0</v>
      </c>
      <c r="BO12" s="88">
        <v>1.0</v>
      </c>
      <c r="BP12" s="88">
        <v>0.0</v>
      </c>
      <c r="BQ12" s="104"/>
      <c r="BR12" s="105">
        <v>8.0</v>
      </c>
      <c r="BS12" s="105">
        <v>1.0</v>
      </c>
      <c r="BT12" s="105">
        <v>0.0</v>
      </c>
      <c r="BU12" s="105">
        <v>54.0</v>
      </c>
      <c r="BV12" s="87" t="s">
        <v>469</v>
      </c>
      <c r="BW12" s="104"/>
      <c r="BX12" s="87"/>
      <c r="BY12" s="87"/>
      <c r="BZ12" s="87"/>
      <c r="CA12" s="87"/>
      <c r="CB12" s="87"/>
      <c r="CC12" s="104"/>
      <c r="CD12" s="87"/>
      <c r="CE12" s="87"/>
      <c r="CF12" s="87"/>
      <c r="CG12" s="87"/>
      <c r="CH12" s="87"/>
      <c r="CI12" s="104"/>
      <c r="CJ12" s="87"/>
      <c r="CK12" s="87"/>
      <c r="CL12" s="87"/>
      <c r="CM12" s="87"/>
      <c r="CN12" s="87"/>
      <c r="CO12" s="104"/>
      <c r="CP12" s="105"/>
      <c r="CQ12" s="105"/>
      <c r="CR12" s="105"/>
      <c r="CS12" s="105"/>
      <c r="CT12" s="87"/>
      <c r="CU12" s="104"/>
      <c r="CV12" s="105"/>
      <c r="CW12" s="105"/>
      <c r="CX12" s="105"/>
      <c r="CY12" s="105"/>
      <c r="CZ12" s="87"/>
      <c r="DA12" s="104"/>
      <c r="DB12" s="105"/>
      <c r="DC12" s="105"/>
      <c r="DD12" s="105"/>
      <c r="DE12" s="105"/>
      <c r="DF12" s="87"/>
      <c r="DG12" s="104"/>
      <c r="DH12" s="105"/>
      <c r="DI12" s="105"/>
      <c r="DJ12" s="105"/>
      <c r="DK12" s="105"/>
      <c r="DL12" s="87"/>
      <c r="DM12" s="104"/>
      <c r="DN12" s="105"/>
      <c r="DO12" s="105"/>
      <c r="DP12" s="105"/>
      <c r="DQ12" s="105"/>
      <c r="DR12" s="87"/>
      <c r="DS12" s="130"/>
      <c r="DT12" s="108"/>
      <c r="DU12" s="108"/>
      <c r="DW12" s="109"/>
      <c r="DX12" s="110">
        <f t="shared" si="13"/>
        <v>8</v>
      </c>
      <c r="DY12" s="111">
        <f t="shared" ref="DY12:DZ12" si="73">sum(BS12,BY12,CE12,CK12,CQ12,CW12,DC12,DI12,DO12)</f>
        <v>1</v>
      </c>
      <c r="DZ12" s="111">
        <f t="shared" si="73"/>
        <v>0</v>
      </c>
      <c r="EA12" s="110">
        <f t="shared" si="15"/>
        <v>54</v>
      </c>
      <c r="EB12" s="99" t="str">
        <f t="shared" si="16"/>
        <v>35 - 54</v>
      </c>
      <c r="EC12" s="112"/>
      <c r="ED12" s="113">
        <f t="shared" si="17"/>
        <v>3.3</v>
      </c>
      <c r="EE12" s="114" t="str">
        <f>IF(V12 &lt;&gt; "", 1+((V12-MIN(discount_rates))*(4)/(MAX(discount_rates) - MIN(discount_rates))), "")</f>
        <v/>
      </c>
      <c r="EF12" s="114" t="str">
        <f>IF(Q12="Debt", (1+((S12-MIN(interest_rates))*(4)/(MAX(interest_rates) - MIN(interest_rates)))), "")</f>
        <v/>
      </c>
      <c r="EG12" s="114" t="str">
        <f>IF(OR(Q12="Revenue Share", Q12="Profit Share"), (1+((R12-MIN(return_mutiples))*(4)/(MAX(return_mutiples) - MIN(return_mutiples)))), "")</f>
        <v/>
      </c>
      <c r="EH12" s="115">
        <f t="shared" si="18"/>
        <v>3.3</v>
      </c>
      <c r="EI12" s="116" t="str">
        <f t="shared" si="19"/>
        <v>Equity - Common</v>
      </c>
      <c r="EJ12" s="117">
        <f t="shared" si="20"/>
        <v>0.3287671233</v>
      </c>
      <c r="EK12" s="116" t="str">
        <f t="shared" si="21"/>
        <v>Early</v>
      </c>
      <c r="EL12" s="112"/>
      <c r="EM12" s="118">
        <f t="shared" si="22"/>
        <v>2.4</v>
      </c>
      <c r="EN12" s="118">
        <f t="shared" si="23"/>
        <v>1.7</v>
      </c>
      <c r="EO12" s="119">
        <f t="shared" si="24"/>
        <v>4.1</v>
      </c>
      <c r="EP12" s="115">
        <f>1+((EO12-MIN(market_ratings_sums))*(4)/(MAX(market_ratings_sums) - MIN(market_ratings_sums)))</f>
        <v>1.98245614</v>
      </c>
      <c r="EQ12" s="116" t="str">
        <f t="shared" si="25"/>
        <v>Yes</v>
      </c>
      <c r="ER12" s="112"/>
      <c r="ES12" s="123">
        <f>1+((DX12-MIN(industry_experiences))*(4)/(MAX(industry_experiences) - MIN(industry_experiences)))</f>
        <v>1.761904762</v>
      </c>
      <c r="ET12" s="123">
        <f>1+((DY12-MIN(previous_startups))*(4)/(MAX(previous_startups) - MIN(previous_startups)))</f>
        <v>1.444444444</v>
      </c>
      <c r="EU12" s="123">
        <f>1+((DZ12-MIN(exits))*(4)/(MAX(exits) - MIN(exits)))</f>
        <v>1</v>
      </c>
      <c r="EV12" s="119">
        <f t="shared" si="26"/>
        <v>4.206349206</v>
      </c>
      <c r="EW12" s="124">
        <f>1+((EV12-MIN(team_ratings_sums))*(4)/(MAX(team_ratings_sums) - MIN(team_ratings_sums)))</f>
        <v>1.660869565</v>
      </c>
      <c r="EX12" s="116" t="str">
        <f t="shared" si="27"/>
        <v>35 - 54</v>
      </c>
      <c r="EY12" s="125">
        <f t="shared" si="28"/>
        <v>0.6849315068</v>
      </c>
      <c r="EZ12" s="116">
        <f t="shared" si="29"/>
        <v>1</v>
      </c>
      <c r="FA12" s="125">
        <f t="shared" si="30"/>
        <v>0.4383561644</v>
      </c>
      <c r="FB12" s="116">
        <f t="shared" si="31"/>
        <v>19</v>
      </c>
      <c r="FC12" s="125">
        <f t="shared" si="32"/>
        <v>0.01369863014</v>
      </c>
      <c r="FD12" s="116" t="str">
        <f t="shared" si="33"/>
        <v>No</v>
      </c>
      <c r="FE12" s="125">
        <f t="shared" si="34"/>
        <v>0.7534246575</v>
      </c>
      <c r="FF12" s="116" t="str">
        <f t="shared" ref="FF12:FH12" si="74">BJ12</f>
        <v>No</v>
      </c>
      <c r="FG12" s="116" t="str">
        <f t="shared" si="74"/>
        <v>No</v>
      </c>
      <c r="FH12" s="116" t="str">
        <f t="shared" si="74"/>
        <v>No</v>
      </c>
      <c r="FI12" s="112"/>
      <c r="FJ12" s="116" t="str">
        <f t="shared" si="36"/>
        <v>Transactional</v>
      </c>
      <c r="FK12" s="125">
        <f t="shared" si="37"/>
        <v>0.602739726</v>
      </c>
      <c r="FL12" s="116" t="str">
        <f t="shared" si="38"/>
        <v>B2C</v>
      </c>
      <c r="FM12" s="125">
        <f t="shared" si="39"/>
        <v>0.397260274</v>
      </c>
      <c r="FN12" s="116" t="str">
        <f t="shared" si="40"/>
        <v>Low</v>
      </c>
      <c r="FO12" s="125">
        <f t="shared" si="41"/>
        <v>0.4383561644</v>
      </c>
      <c r="FP12" s="116" t="str">
        <f t="shared" si="42"/>
        <v>Low</v>
      </c>
      <c r="FQ12" s="125">
        <f t="shared" si="43"/>
        <v>0.3561643836</v>
      </c>
      <c r="FR12" s="112"/>
      <c r="FS12" s="123">
        <f t="shared" si="44"/>
        <v>5</v>
      </c>
      <c r="FT12" s="123">
        <f t="shared" si="45"/>
        <v>3.2</v>
      </c>
      <c r="FU12" s="123">
        <f t="shared" si="46"/>
        <v>1</v>
      </c>
      <c r="FV12" s="123">
        <f t="shared" si="47"/>
        <v>5</v>
      </c>
      <c r="FW12" s="119">
        <f t="shared" si="48"/>
        <v>14.2</v>
      </c>
      <c r="FX12" s="115">
        <f>1+((FW12-MIN(performance_ratings_sums))*(4)/(MAX(performance_ratings_sums) - MIN(performance_ratings_sums)))</f>
        <v>3.803738318</v>
      </c>
      <c r="FY12" s="116" t="str">
        <f t="shared" si="49"/>
        <v>Pre-Profit</v>
      </c>
      <c r="FZ12" s="126">
        <f t="shared" si="50"/>
        <v>0.4931506849</v>
      </c>
      <c r="GA12" s="112"/>
      <c r="GB12" s="127">
        <f t="shared" si="51"/>
        <v>1</v>
      </c>
      <c r="GC12" s="116" t="str">
        <f t="shared" si="52"/>
        <v>Yes</v>
      </c>
      <c r="GD12" s="126">
        <f t="shared" si="53"/>
        <v>0.2328767123</v>
      </c>
      <c r="GE12" s="126" t="str">
        <f t="shared" si="54"/>
        <v>Low</v>
      </c>
      <c r="GF12" s="126">
        <f t="shared" si="55"/>
        <v>0.5479452055</v>
      </c>
      <c r="GG12" s="126" t="str">
        <f t="shared" si="56"/>
        <v>High</v>
      </c>
      <c r="GH12" s="126">
        <f t="shared" si="57"/>
        <v>0.8082191781</v>
      </c>
      <c r="GI12" s="112"/>
      <c r="GJ12" s="116"/>
      <c r="GK12" s="119">
        <f t="shared" si="58"/>
        <v>11.74706402</v>
      </c>
      <c r="GL12" s="128">
        <f>1+((GK12-MIN(ratings_sums))*(4)/(MAX(ratings_sums) - MIN(ratings_sums)))</f>
        <v>2.397064943</v>
      </c>
    </row>
    <row r="13" ht="15.75" customHeight="1">
      <c r="A13" s="87" t="s">
        <v>427</v>
      </c>
      <c r="B13" s="135">
        <v>1752964.0</v>
      </c>
      <c r="C13" s="136" t="s">
        <v>601</v>
      </c>
      <c r="D13" s="137"/>
      <c r="E13" s="138" t="s">
        <v>369</v>
      </c>
      <c r="F13" s="139" t="s">
        <v>602</v>
      </c>
      <c r="G13" s="91" t="s">
        <v>603</v>
      </c>
      <c r="H13" s="140">
        <v>43906.0</v>
      </c>
      <c r="I13" s="136" t="s">
        <v>604</v>
      </c>
      <c r="J13" s="141" t="s">
        <v>605</v>
      </c>
      <c r="K13" s="138" t="s">
        <v>415</v>
      </c>
      <c r="L13" s="138" t="s">
        <v>355</v>
      </c>
      <c r="M13" s="138" t="s">
        <v>31</v>
      </c>
      <c r="N13" s="138" t="s">
        <v>32</v>
      </c>
      <c r="O13" s="138" t="s">
        <v>35</v>
      </c>
      <c r="P13" s="90"/>
      <c r="Q13" s="138" t="s">
        <v>195</v>
      </c>
      <c r="R13" s="93"/>
      <c r="S13" s="94"/>
      <c r="T13" s="95"/>
      <c r="U13" s="17">
        <v>7000000.0</v>
      </c>
      <c r="V13" s="142">
        <v>0.2</v>
      </c>
      <c r="W13" s="96">
        <f t="shared" si="3"/>
        <v>5600000</v>
      </c>
      <c r="X13" s="98">
        <f t="shared" si="4"/>
        <v>5600000</v>
      </c>
      <c r="Y13" s="99" t="str">
        <f t="shared" si="5"/>
        <v>$4M - $6M</v>
      </c>
      <c r="Z13" s="138" t="s">
        <v>86</v>
      </c>
      <c r="AA13" s="138" t="s">
        <v>37</v>
      </c>
      <c r="AB13" s="143" t="s">
        <v>88</v>
      </c>
      <c r="AC13" s="138" t="s">
        <v>493</v>
      </c>
      <c r="AD13" s="143" t="s">
        <v>39</v>
      </c>
      <c r="AE13" s="138" t="s">
        <v>89</v>
      </c>
      <c r="AF13" s="138" t="s">
        <v>493</v>
      </c>
      <c r="AG13" s="144">
        <v>3.9E11</v>
      </c>
      <c r="AH13" s="97" t="str">
        <f t="shared" si="6"/>
        <v>$250B-$500B</v>
      </c>
      <c r="AI13" s="17">
        <v>5.0E9</v>
      </c>
      <c r="AJ13" s="97" t="str">
        <f t="shared" si="7"/>
        <v>$5B-$10B</v>
      </c>
      <c r="AK13" s="145">
        <v>0.182</v>
      </c>
      <c r="AL13" s="88" t="str">
        <f t="shared" si="8"/>
        <v>10%-20%</v>
      </c>
      <c r="AM13" s="135">
        <v>15.0</v>
      </c>
      <c r="AN13" s="143" t="s">
        <v>39</v>
      </c>
      <c r="AO13" s="138" t="s">
        <v>89</v>
      </c>
      <c r="AP13" s="138" t="s">
        <v>90</v>
      </c>
      <c r="AQ13" s="136" t="s">
        <v>89</v>
      </c>
      <c r="AR13" s="143" t="s">
        <v>39</v>
      </c>
      <c r="AS13" s="138" t="s">
        <v>469</v>
      </c>
      <c r="AT13" s="138" t="s">
        <v>469</v>
      </c>
      <c r="AU13" s="138" t="s">
        <v>493</v>
      </c>
      <c r="AV13" s="138" t="s">
        <v>493</v>
      </c>
      <c r="AW13" s="17">
        <v>853807.0</v>
      </c>
      <c r="AX13" s="96" t="str">
        <f t="shared" si="9"/>
        <v>$500K - $1M</v>
      </c>
      <c r="AY13" s="17">
        <v>20734.0</v>
      </c>
      <c r="AZ13" s="144">
        <v>377000.0</v>
      </c>
      <c r="BA13" s="103" t="str">
        <f t="shared" si="10"/>
        <v>$100K - $500K</v>
      </c>
      <c r="BB13" s="103">
        <f t="shared" si="11"/>
        <v>0.05499734748</v>
      </c>
      <c r="BC13" s="103" t="str">
        <f t="shared" si="12"/>
        <v>&lt; 10%</v>
      </c>
      <c r="BD13" s="138" t="s">
        <v>107</v>
      </c>
      <c r="BE13" s="90"/>
      <c r="BF13" s="138" t="s">
        <v>469</v>
      </c>
      <c r="BG13" s="135">
        <v>0.0</v>
      </c>
      <c r="BH13" s="135">
        <v>1.0</v>
      </c>
      <c r="BI13" s="138" t="s">
        <v>469</v>
      </c>
      <c r="BJ13" s="138" t="s">
        <v>469</v>
      </c>
      <c r="BK13" s="138" t="s">
        <v>469</v>
      </c>
      <c r="BL13" s="138" t="s">
        <v>469</v>
      </c>
      <c r="BM13" s="135">
        <v>1.0</v>
      </c>
      <c r="BN13" s="135">
        <v>11.0</v>
      </c>
      <c r="BO13" s="135">
        <v>0.0</v>
      </c>
      <c r="BP13" s="135">
        <v>4.0</v>
      </c>
      <c r="BQ13" s="104"/>
      <c r="BR13" s="146">
        <v>13.0</v>
      </c>
      <c r="BS13" s="146">
        <v>3.0</v>
      </c>
      <c r="BT13" s="146">
        <v>0.0</v>
      </c>
      <c r="BU13" s="146">
        <v>60.0</v>
      </c>
      <c r="BV13" s="136" t="s">
        <v>493</v>
      </c>
      <c r="BW13" s="104"/>
      <c r="BX13" s="87"/>
      <c r="BY13" s="87"/>
      <c r="BZ13" s="87"/>
      <c r="CA13" s="87"/>
      <c r="CB13" s="87"/>
      <c r="CC13" s="104"/>
      <c r="CD13" s="87"/>
      <c r="CE13" s="87"/>
      <c r="CF13" s="87"/>
      <c r="CG13" s="87"/>
      <c r="CH13" s="87"/>
      <c r="CI13" s="104"/>
      <c r="CJ13" s="87"/>
      <c r="CK13" s="87"/>
      <c r="CL13" s="87"/>
      <c r="CM13" s="87"/>
      <c r="CN13" s="87"/>
      <c r="CO13" s="104"/>
      <c r="CP13" s="87"/>
      <c r="CQ13" s="87"/>
      <c r="CR13" s="87"/>
      <c r="CS13" s="87"/>
      <c r="CT13" s="87"/>
      <c r="CU13" s="104"/>
      <c r="CV13" s="87"/>
      <c r="CW13" s="87"/>
      <c r="CX13" s="87"/>
      <c r="CY13" s="87"/>
      <c r="CZ13" s="87"/>
      <c r="DA13" s="104"/>
      <c r="DB13" s="87"/>
      <c r="DC13" s="87"/>
      <c r="DD13" s="87"/>
      <c r="DE13" s="87"/>
      <c r="DF13" s="87"/>
      <c r="DG13" s="104"/>
      <c r="DH13" s="87"/>
      <c r="DI13" s="87"/>
      <c r="DJ13" s="87"/>
      <c r="DK13" s="87"/>
      <c r="DL13" s="87"/>
      <c r="DM13" s="104"/>
      <c r="DN13" s="87"/>
      <c r="DO13" s="87"/>
      <c r="DP13" s="87"/>
      <c r="DQ13" s="87"/>
      <c r="DR13" s="87"/>
      <c r="DS13" s="130"/>
      <c r="DT13" s="108"/>
      <c r="DU13" s="108"/>
      <c r="DW13" s="109"/>
      <c r="DX13" s="110">
        <f t="shared" si="13"/>
        <v>13</v>
      </c>
      <c r="DY13" s="111">
        <f t="shared" ref="DY13:DZ13" si="75">sum(BS13,BY13,CE13,CK13,CQ13,CW13,DC13,DI13,DO13)</f>
        <v>3</v>
      </c>
      <c r="DZ13" s="111">
        <f t="shared" si="75"/>
        <v>0</v>
      </c>
      <c r="EA13" s="110">
        <f t="shared" si="15"/>
        <v>60</v>
      </c>
      <c r="EB13" s="99" t="str">
        <f t="shared" si="16"/>
        <v>55+</v>
      </c>
      <c r="EC13" s="112"/>
      <c r="ED13" s="113">
        <f t="shared" si="17"/>
        <v>4.4</v>
      </c>
      <c r="EE13" s="114">
        <f>IF(V13 &lt;&gt; "", 1+((V13-MIN(discount_rates))*(4)/(MAX(discount_rates) - MIN(discount_rates))), "")</f>
        <v>3.105263158</v>
      </c>
      <c r="EF13" s="114" t="str">
        <f>IF(Q13="Debt", (1+((S13-MIN(interest_rates))*(4)/(MAX(interest_rates) - MIN(interest_rates)))), "")</f>
        <v/>
      </c>
      <c r="EG13" s="114" t="str">
        <f>IF(OR(Q13="Revenue Share", Q13="Profit Share"), (1+((R13-MIN(return_mutiples))*(4)/(MAX(return_mutiples) - MIN(return_mutiples)))), "")</f>
        <v/>
      </c>
      <c r="EH13" s="115">
        <f t="shared" si="18"/>
        <v>4.4</v>
      </c>
      <c r="EI13" s="116" t="str">
        <f t="shared" si="19"/>
        <v>SAFE</v>
      </c>
      <c r="EJ13" s="117">
        <f t="shared" si="20"/>
        <v>0.3561643836</v>
      </c>
      <c r="EK13" s="116" t="str">
        <f t="shared" si="21"/>
        <v>Early</v>
      </c>
      <c r="EL13" s="112"/>
      <c r="EM13" s="118">
        <f t="shared" si="22"/>
        <v>3</v>
      </c>
      <c r="EN13" s="118">
        <f t="shared" si="23"/>
        <v>2.3</v>
      </c>
      <c r="EO13" s="119">
        <f t="shared" si="24"/>
        <v>5.3</v>
      </c>
      <c r="EP13" s="115">
        <f>1+((EO13-MIN(market_ratings_sums))*(4)/(MAX(market_ratings_sums) - MIN(market_ratings_sums)))</f>
        <v>2.824561404</v>
      </c>
      <c r="EQ13" s="116" t="str">
        <f t="shared" si="25"/>
        <v>No</v>
      </c>
      <c r="ER13" s="112"/>
      <c r="ES13" s="123">
        <f>1+((DX13-MIN(industry_experiences))*(4)/(MAX(industry_experiences) - MIN(industry_experiences)))</f>
        <v>2.238095238</v>
      </c>
      <c r="ET13" s="123">
        <f>1+((DY13-MIN(previous_startups))*(4)/(MAX(previous_startups) - MIN(previous_startups)))</f>
        <v>2.333333333</v>
      </c>
      <c r="EU13" s="123">
        <f>1+((DZ13-MIN(exits))*(4)/(MAX(exits) - MIN(exits)))</f>
        <v>1</v>
      </c>
      <c r="EV13" s="119">
        <f t="shared" si="26"/>
        <v>5.571428571</v>
      </c>
      <c r="EW13" s="124">
        <f>1+((EV13-MIN(team_ratings_sums))*(4)/(MAX(team_ratings_sums) - MIN(team_ratings_sums)))</f>
        <v>2.408695652</v>
      </c>
      <c r="EX13" s="116" t="str">
        <f t="shared" si="27"/>
        <v>55+</v>
      </c>
      <c r="EY13" s="125">
        <f t="shared" si="28"/>
        <v>0.1095890411</v>
      </c>
      <c r="EZ13" s="116">
        <f t="shared" si="29"/>
        <v>1</v>
      </c>
      <c r="FA13" s="125">
        <f t="shared" si="30"/>
        <v>0.4383561644</v>
      </c>
      <c r="FB13" s="116">
        <f t="shared" si="31"/>
        <v>11</v>
      </c>
      <c r="FC13" s="125">
        <f t="shared" si="32"/>
        <v>0.02739726027</v>
      </c>
      <c r="FD13" s="116" t="str">
        <f t="shared" si="33"/>
        <v>No</v>
      </c>
      <c r="FE13" s="125">
        <f t="shared" si="34"/>
        <v>0.7534246575</v>
      </c>
      <c r="FF13" s="116" t="str">
        <f t="shared" ref="FF13:FH13" si="76">BJ13</f>
        <v>No</v>
      </c>
      <c r="FG13" s="116" t="str">
        <f t="shared" si="76"/>
        <v>No</v>
      </c>
      <c r="FH13" s="116" t="str">
        <f t="shared" si="76"/>
        <v>No</v>
      </c>
      <c r="FI13" s="112"/>
      <c r="FJ13" s="116" t="str">
        <f t="shared" si="36"/>
        <v>Recurring</v>
      </c>
      <c r="FK13" s="125">
        <f t="shared" si="37"/>
        <v>0.397260274</v>
      </c>
      <c r="FL13" s="116" t="str">
        <f t="shared" si="38"/>
        <v>B2B</v>
      </c>
      <c r="FM13" s="125">
        <f t="shared" si="39"/>
        <v>0.2465753425</v>
      </c>
      <c r="FN13" s="116" t="str">
        <f t="shared" si="40"/>
        <v>High</v>
      </c>
      <c r="FO13" s="125">
        <f t="shared" si="41"/>
        <v>0.5616438356</v>
      </c>
      <c r="FP13" s="116" t="str">
        <f t="shared" si="42"/>
        <v>Low</v>
      </c>
      <c r="FQ13" s="125">
        <f t="shared" si="43"/>
        <v>0.3561643836</v>
      </c>
      <c r="FR13" s="112"/>
      <c r="FS13" s="123">
        <f t="shared" si="44"/>
        <v>5</v>
      </c>
      <c r="FT13" s="123">
        <f t="shared" si="45"/>
        <v>2.8</v>
      </c>
      <c r="FU13" s="123">
        <f t="shared" si="46"/>
        <v>5</v>
      </c>
      <c r="FV13" s="123">
        <f t="shared" si="47"/>
        <v>3.7</v>
      </c>
      <c r="FW13" s="119">
        <f t="shared" si="48"/>
        <v>16.5</v>
      </c>
      <c r="FX13" s="115">
        <f>1+((FW13-MIN(performance_ratings_sums))*(4)/(MAX(performance_ratings_sums) - MIN(performance_ratings_sums)))</f>
        <v>4.663551402</v>
      </c>
      <c r="FY13" s="116" t="str">
        <f t="shared" si="49"/>
        <v>Pre-Profit</v>
      </c>
      <c r="FZ13" s="126">
        <f t="shared" si="50"/>
        <v>0.4931506849</v>
      </c>
      <c r="GA13" s="112"/>
      <c r="GB13" s="127">
        <f t="shared" si="51"/>
        <v>3</v>
      </c>
      <c r="GC13" s="116" t="str">
        <f t="shared" si="52"/>
        <v>No</v>
      </c>
      <c r="GD13" s="126">
        <f t="shared" si="53"/>
        <v>0.7671232877</v>
      </c>
      <c r="GE13" s="126" t="str">
        <f t="shared" si="54"/>
        <v>Low</v>
      </c>
      <c r="GF13" s="126">
        <f t="shared" si="55"/>
        <v>0.5479452055</v>
      </c>
      <c r="GG13" s="126" t="str">
        <f t="shared" si="56"/>
        <v>High</v>
      </c>
      <c r="GH13" s="126">
        <f t="shared" si="57"/>
        <v>0.8082191781</v>
      </c>
      <c r="GI13" s="112"/>
      <c r="GJ13" s="116"/>
      <c r="GK13" s="119">
        <f t="shared" si="58"/>
        <v>17.29680846</v>
      </c>
      <c r="GL13" s="128">
        <f>1+((GK13-MIN(ratings_sums))*(4)/(MAX(ratings_sums) - MIN(ratings_sums)))</f>
        <v>4.099948345</v>
      </c>
    </row>
    <row r="14" ht="15.75" customHeight="1">
      <c r="A14" s="87" t="s">
        <v>427</v>
      </c>
      <c r="B14" s="135">
        <v>1806624.0</v>
      </c>
      <c r="C14" s="136" t="s">
        <v>606</v>
      </c>
      <c r="D14" s="147"/>
      <c r="E14" s="138" t="s">
        <v>381</v>
      </c>
      <c r="F14" s="139" t="s">
        <v>607</v>
      </c>
      <c r="G14" s="91" t="s">
        <v>608</v>
      </c>
      <c r="H14" s="140">
        <v>43903.0</v>
      </c>
      <c r="I14" s="136" t="s">
        <v>609</v>
      </c>
      <c r="J14" s="136" t="s">
        <v>610</v>
      </c>
      <c r="K14" s="138" t="s">
        <v>448</v>
      </c>
      <c r="L14" s="138" t="s">
        <v>390</v>
      </c>
      <c r="M14" s="138" t="s">
        <v>31</v>
      </c>
      <c r="N14" s="138" t="s">
        <v>32</v>
      </c>
      <c r="O14" s="138" t="s">
        <v>35</v>
      </c>
      <c r="P14" s="90"/>
      <c r="Q14" s="138" t="s">
        <v>121</v>
      </c>
      <c r="R14" s="93"/>
      <c r="S14" s="94"/>
      <c r="T14" s="17">
        <v>6410000.0</v>
      </c>
      <c r="U14" s="95"/>
      <c r="V14" s="129"/>
      <c r="W14" s="96" t="str">
        <f t="shared" si="3"/>
        <v/>
      </c>
      <c r="X14" s="98">
        <f t="shared" si="4"/>
        <v>6410000</v>
      </c>
      <c r="Y14" s="99" t="str">
        <f t="shared" si="5"/>
        <v>$6M - $8M</v>
      </c>
      <c r="Z14" s="138" t="s">
        <v>36</v>
      </c>
      <c r="AA14" s="138" t="s">
        <v>87</v>
      </c>
      <c r="AB14" s="138" t="s">
        <v>38</v>
      </c>
      <c r="AC14" s="138" t="s">
        <v>469</v>
      </c>
      <c r="AD14" s="138" t="s">
        <v>89</v>
      </c>
      <c r="AE14" s="143" t="s">
        <v>39</v>
      </c>
      <c r="AF14" s="138" t="s">
        <v>469</v>
      </c>
      <c r="AG14" s="144">
        <v>2.038E11</v>
      </c>
      <c r="AH14" s="97" t="str">
        <f t="shared" si="6"/>
        <v>$100B-$250B</v>
      </c>
      <c r="AI14" s="17">
        <v>3.0E9</v>
      </c>
      <c r="AJ14" s="97" t="str">
        <f t="shared" si="7"/>
        <v>$1B-$5B</v>
      </c>
      <c r="AK14" s="145">
        <v>0.03</v>
      </c>
      <c r="AL14" s="88" t="str">
        <f t="shared" si="8"/>
        <v>0%-10%</v>
      </c>
      <c r="AM14" s="135">
        <v>100.0</v>
      </c>
      <c r="AN14" s="138" t="s">
        <v>89</v>
      </c>
      <c r="AO14" s="138" t="s">
        <v>89</v>
      </c>
      <c r="AP14" s="138" t="s">
        <v>40</v>
      </c>
      <c r="AQ14" s="136" t="s">
        <v>89</v>
      </c>
      <c r="AR14" s="143" t="s">
        <v>39</v>
      </c>
      <c r="AS14" s="138" t="s">
        <v>469</v>
      </c>
      <c r="AT14" s="138" t="s">
        <v>469</v>
      </c>
      <c r="AU14" s="138" t="s">
        <v>493</v>
      </c>
      <c r="AV14" s="138" t="s">
        <v>469</v>
      </c>
      <c r="AW14" s="17">
        <v>0.0</v>
      </c>
      <c r="AX14" s="96" t="str">
        <f t="shared" si="9"/>
        <v>&lt; $10K</v>
      </c>
      <c r="AY14" s="17">
        <v>0.0</v>
      </c>
      <c r="AZ14" s="144">
        <v>0.0</v>
      </c>
      <c r="BA14" s="103" t="str">
        <f t="shared" si="10"/>
        <v>&lt; $10K</v>
      </c>
      <c r="BB14" s="103">
        <f t="shared" si="11"/>
        <v>1</v>
      </c>
      <c r="BC14" s="103" t="str">
        <f t="shared" si="12"/>
        <v>90% - 100%</v>
      </c>
      <c r="BD14" s="138" t="s">
        <v>91</v>
      </c>
      <c r="BE14" s="90"/>
      <c r="BF14" s="138" t="s">
        <v>469</v>
      </c>
      <c r="BG14" s="135">
        <v>0.0</v>
      </c>
      <c r="BH14" s="135">
        <v>1.0</v>
      </c>
      <c r="BI14" s="138" t="s">
        <v>469</v>
      </c>
      <c r="BJ14" s="138" t="s">
        <v>469</v>
      </c>
      <c r="BK14" s="138" t="s">
        <v>469</v>
      </c>
      <c r="BL14" s="138" t="s">
        <v>493</v>
      </c>
      <c r="BM14" s="135">
        <v>0.0</v>
      </c>
      <c r="BN14" s="135">
        <v>1.0</v>
      </c>
      <c r="BO14" s="135">
        <v>0.0</v>
      </c>
      <c r="BP14" s="135">
        <v>0.0</v>
      </c>
      <c r="BQ14" s="104"/>
      <c r="BR14" s="146">
        <v>35.0</v>
      </c>
      <c r="BS14" s="146">
        <v>0.0</v>
      </c>
      <c r="BT14" s="146">
        <v>0.0</v>
      </c>
      <c r="BU14" s="146">
        <v>49.0</v>
      </c>
      <c r="BV14" s="136" t="s">
        <v>469</v>
      </c>
      <c r="BW14" s="104"/>
      <c r="BX14" s="87"/>
      <c r="BY14" s="87"/>
      <c r="BZ14" s="87"/>
      <c r="CA14" s="87"/>
      <c r="CB14" s="87"/>
      <c r="CC14" s="104"/>
      <c r="CD14" s="87"/>
      <c r="CE14" s="87"/>
      <c r="CF14" s="87"/>
      <c r="CG14" s="87"/>
      <c r="CH14" s="87"/>
      <c r="CI14" s="104"/>
      <c r="CJ14" s="87"/>
      <c r="CK14" s="87"/>
      <c r="CL14" s="87"/>
      <c r="CM14" s="87"/>
      <c r="CN14" s="87"/>
      <c r="CO14" s="104"/>
      <c r="CP14" s="87"/>
      <c r="CQ14" s="87"/>
      <c r="CR14" s="87"/>
      <c r="CS14" s="87"/>
      <c r="CT14" s="87"/>
      <c r="CU14" s="104"/>
      <c r="CV14" s="87"/>
      <c r="CW14" s="87"/>
      <c r="CX14" s="87"/>
      <c r="CY14" s="87"/>
      <c r="CZ14" s="87"/>
      <c r="DA14" s="104"/>
      <c r="DB14" s="87"/>
      <c r="DC14" s="87"/>
      <c r="DD14" s="87"/>
      <c r="DE14" s="87"/>
      <c r="DF14" s="87"/>
      <c r="DG14" s="104"/>
      <c r="DH14" s="87"/>
      <c r="DI14" s="87"/>
      <c r="DJ14" s="87"/>
      <c r="DK14" s="87"/>
      <c r="DL14" s="87"/>
      <c r="DM14" s="104"/>
      <c r="DN14" s="87"/>
      <c r="DO14" s="87"/>
      <c r="DP14" s="87"/>
      <c r="DQ14" s="87"/>
      <c r="DR14" s="87"/>
      <c r="DS14" s="130"/>
      <c r="DT14" s="108"/>
      <c r="DU14" s="108"/>
      <c r="DW14" s="109"/>
      <c r="DX14" s="110">
        <f t="shared" si="13"/>
        <v>35</v>
      </c>
      <c r="DY14" s="111">
        <f t="shared" ref="DY14:DZ14" si="77">sum(BS14,BY14,CE14,CK14,CQ14,CW14,DC14,DI14,DO14)</f>
        <v>0</v>
      </c>
      <c r="DZ14" s="111">
        <f t="shared" si="77"/>
        <v>0</v>
      </c>
      <c r="EA14" s="110">
        <f t="shared" si="15"/>
        <v>49</v>
      </c>
      <c r="EB14" s="99" t="str">
        <f t="shared" si="16"/>
        <v>35 - 54</v>
      </c>
      <c r="EC14" s="112"/>
      <c r="ED14" s="113">
        <f t="shared" si="17"/>
        <v>4.2</v>
      </c>
      <c r="EE14" s="114" t="str">
        <f>IF(V14 &lt;&gt; "", 1+((V14-MIN(discount_rates))*(4)/(MAX(discount_rates) - MIN(discount_rates))), "")</f>
        <v/>
      </c>
      <c r="EF14" s="114" t="str">
        <f>IF(Q14="Debt", (1+((S14-MIN(interest_rates))*(4)/(MAX(interest_rates) - MIN(interest_rates)))), "")</f>
        <v/>
      </c>
      <c r="EG14" s="114" t="str">
        <f>IF(OR(Q14="Revenue Share", Q14="Profit Share"), (1+((R14-MIN(return_mutiples))*(4)/(MAX(return_mutiples) - MIN(return_mutiples)))), "")</f>
        <v/>
      </c>
      <c r="EH14" s="115">
        <f t="shared" si="18"/>
        <v>4.2</v>
      </c>
      <c r="EI14" s="116" t="str">
        <f t="shared" si="19"/>
        <v>Equity - Common</v>
      </c>
      <c r="EJ14" s="117">
        <f t="shared" si="20"/>
        <v>0.3287671233</v>
      </c>
      <c r="EK14" s="116" t="str">
        <f t="shared" si="21"/>
        <v>Early</v>
      </c>
      <c r="EL14" s="112"/>
      <c r="EM14" s="118">
        <f t="shared" si="22"/>
        <v>2.7</v>
      </c>
      <c r="EN14" s="118">
        <f t="shared" si="23"/>
        <v>1.7</v>
      </c>
      <c r="EO14" s="119">
        <f t="shared" si="24"/>
        <v>4.4</v>
      </c>
      <c r="EP14" s="115">
        <f>1+((EO14-MIN(market_ratings_sums))*(4)/(MAX(market_ratings_sums) - MIN(market_ratings_sums)))</f>
        <v>2.192982456</v>
      </c>
      <c r="EQ14" s="116" t="str">
        <f t="shared" si="25"/>
        <v>No</v>
      </c>
      <c r="ER14" s="112"/>
      <c r="ES14" s="123">
        <f>1+((DX14-MIN(industry_experiences))*(4)/(MAX(industry_experiences) - MIN(industry_experiences)))</f>
        <v>4.333333333</v>
      </c>
      <c r="ET14" s="123">
        <f>1+((DY14-MIN(previous_startups))*(4)/(MAX(previous_startups) - MIN(previous_startups)))</f>
        <v>1</v>
      </c>
      <c r="EU14" s="123">
        <f>1+((DZ14-MIN(exits))*(4)/(MAX(exits) - MIN(exits)))</f>
        <v>1</v>
      </c>
      <c r="EV14" s="119">
        <f t="shared" si="26"/>
        <v>6.333333333</v>
      </c>
      <c r="EW14" s="124">
        <f>1+((EV14-MIN(team_ratings_sums))*(4)/(MAX(team_ratings_sums) - MIN(team_ratings_sums)))</f>
        <v>2.826086957</v>
      </c>
      <c r="EX14" s="116" t="str">
        <f t="shared" si="27"/>
        <v>35 - 54</v>
      </c>
      <c r="EY14" s="125">
        <f t="shared" si="28"/>
        <v>0.6849315068</v>
      </c>
      <c r="EZ14" s="116">
        <f t="shared" si="29"/>
        <v>1</v>
      </c>
      <c r="FA14" s="125">
        <f t="shared" si="30"/>
        <v>0.4383561644</v>
      </c>
      <c r="FB14" s="116">
        <f t="shared" si="31"/>
        <v>1</v>
      </c>
      <c r="FC14" s="125">
        <f t="shared" si="32"/>
        <v>0.08219178082</v>
      </c>
      <c r="FD14" s="116" t="str">
        <f t="shared" si="33"/>
        <v>No</v>
      </c>
      <c r="FE14" s="125">
        <f t="shared" si="34"/>
        <v>0.7534246575</v>
      </c>
      <c r="FF14" s="116" t="str">
        <f t="shared" ref="FF14:FH14" si="78">BJ14</f>
        <v>No</v>
      </c>
      <c r="FG14" s="116" t="str">
        <f t="shared" si="78"/>
        <v>No</v>
      </c>
      <c r="FH14" s="116" t="str">
        <f t="shared" si="78"/>
        <v>Yes</v>
      </c>
      <c r="FI14" s="112"/>
      <c r="FJ14" s="116" t="str">
        <f t="shared" si="36"/>
        <v>Transactional</v>
      </c>
      <c r="FK14" s="125">
        <f t="shared" si="37"/>
        <v>0.602739726</v>
      </c>
      <c r="FL14" s="116" t="str">
        <f t="shared" si="38"/>
        <v>B2C</v>
      </c>
      <c r="FM14" s="125">
        <f t="shared" si="39"/>
        <v>0.397260274</v>
      </c>
      <c r="FN14" s="116" t="str">
        <f t="shared" si="40"/>
        <v>Low</v>
      </c>
      <c r="FO14" s="125">
        <f t="shared" si="41"/>
        <v>0.4383561644</v>
      </c>
      <c r="FP14" s="116" t="str">
        <f t="shared" si="42"/>
        <v>High</v>
      </c>
      <c r="FQ14" s="125">
        <f t="shared" si="43"/>
        <v>0.6438356164</v>
      </c>
      <c r="FR14" s="112"/>
      <c r="FS14" s="123">
        <f t="shared" si="44"/>
        <v>3</v>
      </c>
      <c r="FT14" s="123">
        <f t="shared" si="45"/>
        <v>1</v>
      </c>
      <c r="FU14" s="123">
        <f t="shared" si="46"/>
        <v>1</v>
      </c>
      <c r="FV14" s="123">
        <f t="shared" si="47"/>
        <v>5</v>
      </c>
      <c r="FW14" s="119">
        <f t="shared" si="48"/>
        <v>10</v>
      </c>
      <c r="FX14" s="115">
        <f>1+((FW14-MIN(performance_ratings_sums))*(4)/(MAX(performance_ratings_sums) - MIN(performance_ratings_sums)))</f>
        <v>2.23364486</v>
      </c>
      <c r="FY14" s="116" t="str">
        <f t="shared" si="49"/>
        <v>Pre-Revenue</v>
      </c>
      <c r="FZ14" s="126">
        <f t="shared" si="50"/>
        <v>0.2054794521</v>
      </c>
      <c r="GA14" s="112"/>
      <c r="GB14" s="127">
        <f t="shared" si="51"/>
        <v>1</v>
      </c>
      <c r="GC14" s="116" t="str">
        <f t="shared" si="52"/>
        <v>No</v>
      </c>
      <c r="GD14" s="126">
        <f t="shared" si="53"/>
        <v>0.7671232877</v>
      </c>
      <c r="GE14" s="126" t="str">
        <f t="shared" si="54"/>
        <v>Low</v>
      </c>
      <c r="GF14" s="126">
        <f t="shared" si="55"/>
        <v>0.5479452055</v>
      </c>
      <c r="GG14" s="126" t="str">
        <f t="shared" si="56"/>
        <v>High</v>
      </c>
      <c r="GH14" s="126">
        <f t="shared" si="57"/>
        <v>0.8082191781</v>
      </c>
      <c r="GI14" s="112"/>
      <c r="GJ14" s="116"/>
      <c r="GK14" s="119">
        <f t="shared" si="58"/>
        <v>12.45271427</v>
      </c>
      <c r="GL14" s="128">
        <f>1+((GK14-MIN(ratings_sums))*(4)/(MAX(ratings_sums) - MIN(ratings_sums)))</f>
        <v>2.613586643</v>
      </c>
    </row>
    <row r="15" ht="15.75" customHeight="1">
      <c r="A15" s="87" t="s">
        <v>427</v>
      </c>
      <c r="B15" s="135">
        <v>1802409.0</v>
      </c>
      <c r="C15" s="136" t="s">
        <v>611</v>
      </c>
      <c r="D15" s="147"/>
      <c r="E15" s="138" t="s">
        <v>392</v>
      </c>
      <c r="F15" s="139" t="s">
        <v>612</v>
      </c>
      <c r="G15" s="91" t="s">
        <v>613</v>
      </c>
      <c r="H15" s="140">
        <v>43871.0</v>
      </c>
      <c r="I15" s="136" t="s">
        <v>614</v>
      </c>
      <c r="J15" s="136" t="s">
        <v>611</v>
      </c>
      <c r="K15" s="138" t="s">
        <v>448</v>
      </c>
      <c r="L15" s="138" t="s">
        <v>390</v>
      </c>
      <c r="M15" s="138" t="s">
        <v>31</v>
      </c>
      <c r="N15" s="138" t="s">
        <v>32</v>
      </c>
      <c r="O15" s="138" t="s">
        <v>35</v>
      </c>
      <c r="P15" s="90"/>
      <c r="Q15" s="138" t="s">
        <v>195</v>
      </c>
      <c r="R15" s="93"/>
      <c r="S15" s="94"/>
      <c r="T15" s="95"/>
      <c r="U15" s="17">
        <v>4500000.0</v>
      </c>
      <c r="V15" s="142">
        <v>0.2</v>
      </c>
      <c r="W15" s="96">
        <f t="shared" si="3"/>
        <v>3600000</v>
      </c>
      <c r="X15" s="98">
        <f t="shared" si="4"/>
        <v>3600000</v>
      </c>
      <c r="Y15" s="99" t="str">
        <f t="shared" si="5"/>
        <v>$2M - $4M</v>
      </c>
      <c r="Z15" s="138" t="s">
        <v>36</v>
      </c>
      <c r="AA15" s="138" t="s">
        <v>87</v>
      </c>
      <c r="AB15" s="138" t="s">
        <v>38</v>
      </c>
      <c r="AC15" s="138" t="s">
        <v>493</v>
      </c>
      <c r="AD15" s="138" t="s">
        <v>89</v>
      </c>
      <c r="AE15" s="143" t="s">
        <v>39</v>
      </c>
      <c r="AF15" s="138" t="s">
        <v>469</v>
      </c>
      <c r="AG15" s="144">
        <v>4.7E10</v>
      </c>
      <c r="AH15" s="97" t="str">
        <f t="shared" si="6"/>
        <v>$25B-$50B</v>
      </c>
      <c r="AI15" s="17">
        <v>1.0E10</v>
      </c>
      <c r="AJ15" s="97" t="str">
        <f t="shared" si="7"/>
        <v>$10B-$25B</v>
      </c>
      <c r="AK15" s="145">
        <v>0.019</v>
      </c>
      <c r="AL15" s="88" t="str">
        <f t="shared" si="8"/>
        <v>0%-10%</v>
      </c>
      <c r="AM15" s="135">
        <v>100.0</v>
      </c>
      <c r="AN15" s="143" t="s">
        <v>39</v>
      </c>
      <c r="AO15" s="138" t="s">
        <v>89</v>
      </c>
      <c r="AP15" s="138" t="s">
        <v>40</v>
      </c>
      <c r="AQ15" s="136" t="s">
        <v>89</v>
      </c>
      <c r="AR15" s="143" t="s">
        <v>39</v>
      </c>
      <c r="AS15" s="138" t="s">
        <v>469</v>
      </c>
      <c r="AT15" s="138" t="s">
        <v>469</v>
      </c>
      <c r="AU15" s="138" t="s">
        <v>493</v>
      </c>
      <c r="AV15" s="138" t="s">
        <v>493</v>
      </c>
      <c r="AW15" s="17">
        <v>1282750.0</v>
      </c>
      <c r="AX15" s="96" t="str">
        <f t="shared" si="9"/>
        <v>$1M - $2M</v>
      </c>
      <c r="AY15" s="17">
        <v>24193.0</v>
      </c>
      <c r="AZ15" s="144">
        <v>435700.0</v>
      </c>
      <c r="BA15" s="103" t="str">
        <f t="shared" si="10"/>
        <v>$100K - $500K</v>
      </c>
      <c r="BB15" s="103">
        <f t="shared" si="11"/>
        <v>0.05552673858</v>
      </c>
      <c r="BC15" s="103" t="str">
        <f t="shared" si="12"/>
        <v>&lt; 10%</v>
      </c>
      <c r="BD15" s="138" t="s">
        <v>107</v>
      </c>
      <c r="BE15" s="90"/>
      <c r="BF15" s="138" t="s">
        <v>469</v>
      </c>
      <c r="BG15" s="135">
        <v>0.0</v>
      </c>
      <c r="BH15" s="135">
        <v>1.0</v>
      </c>
      <c r="BI15" s="138" t="s">
        <v>469</v>
      </c>
      <c r="BJ15" s="138" t="s">
        <v>469</v>
      </c>
      <c r="BK15" s="138" t="s">
        <v>469</v>
      </c>
      <c r="BL15" s="138" t="s">
        <v>469</v>
      </c>
      <c r="BM15" s="135">
        <v>1.0</v>
      </c>
      <c r="BN15" s="135">
        <v>5.0</v>
      </c>
      <c r="BO15" s="135">
        <v>0.0</v>
      </c>
      <c r="BP15" s="135">
        <v>2.0</v>
      </c>
      <c r="BQ15" s="104"/>
      <c r="BR15" s="146">
        <v>0.0</v>
      </c>
      <c r="BS15" s="146">
        <v>1.0</v>
      </c>
      <c r="BT15" s="146">
        <v>0.0</v>
      </c>
      <c r="BU15" s="146">
        <v>49.0</v>
      </c>
      <c r="BV15" s="136" t="s">
        <v>469</v>
      </c>
      <c r="BW15" s="104"/>
      <c r="BX15" s="87"/>
      <c r="BY15" s="87"/>
      <c r="BZ15" s="87"/>
      <c r="CA15" s="87"/>
      <c r="CB15" s="87"/>
      <c r="CC15" s="104"/>
      <c r="CD15" s="87"/>
      <c r="CE15" s="87"/>
      <c r="CF15" s="87"/>
      <c r="CG15" s="87"/>
      <c r="CH15" s="87"/>
      <c r="CI15" s="104"/>
      <c r="CJ15" s="87"/>
      <c r="CK15" s="87"/>
      <c r="CL15" s="87"/>
      <c r="CM15" s="87"/>
      <c r="CN15" s="87"/>
      <c r="CO15" s="104"/>
      <c r="CP15" s="105"/>
      <c r="CQ15" s="105"/>
      <c r="CR15" s="105"/>
      <c r="CS15" s="105"/>
      <c r="CT15" s="87"/>
      <c r="CU15" s="104"/>
      <c r="CV15" s="105"/>
      <c r="CW15" s="105"/>
      <c r="CX15" s="105"/>
      <c r="CY15" s="105"/>
      <c r="CZ15" s="87"/>
      <c r="DA15" s="104"/>
      <c r="DB15" s="105"/>
      <c r="DC15" s="105"/>
      <c r="DD15" s="105"/>
      <c r="DE15" s="105"/>
      <c r="DF15" s="87"/>
      <c r="DG15" s="104"/>
      <c r="DH15" s="105"/>
      <c r="DI15" s="105"/>
      <c r="DJ15" s="105"/>
      <c r="DK15" s="105"/>
      <c r="DL15" s="87"/>
      <c r="DM15" s="104"/>
      <c r="DN15" s="105"/>
      <c r="DO15" s="105"/>
      <c r="DP15" s="105"/>
      <c r="DQ15" s="105"/>
      <c r="DR15" s="87"/>
      <c r="DS15" s="130"/>
      <c r="DT15" s="108"/>
      <c r="DU15" s="108"/>
      <c r="DW15" s="109"/>
      <c r="DX15" s="110">
        <f t="shared" si="13"/>
        <v>0</v>
      </c>
      <c r="DY15" s="111">
        <f t="shared" ref="DY15:DZ15" si="79">sum(BS15,BY15,CE15,CK15,CQ15,CW15,DC15,DI15,DO15)</f>
        <v>1</v>
      </c>
      <c r="DZ15" s="111">
        <f t="shared" si="79"/>
        <v>0</v>
      </c>
      <c r="EA15" s="110">
        <f t="shared" si="15"/>
        <v>49</v>
      </c>
      <c r="EB15" s="99" t="str">
        <f t="shared" si="16"/>
        <v>35 - 54</v>
      </c>
      <c r="EC15" s="112"/>
      <c r="ED15" s="113">
        <f t="shared" si="17"/>
        <v>4.6</v>
      </c>
      <c r="EE15" s="114">
        <f>IF(V15 &lt;&gt; "", 1+((V15-MIN(discount_rates))*(4)/(MAX(discount_rates) - MIN(discount_rates))), "")</f>
        <v>3.105263158</v>
      </c>
      <c r="EF15" s="114" t="str">
        <f>IF(Q15="Debt", (1+((S15-MIN(interest_rates))*(4)/(MAX(interest_rates) - MIN(interest_rates)))), "")</f>
        <v/>
      </c>
      <c r="EG15" s="114" t="str">
        <f>IF(OR(Q15="Revenue Share", Q15="Profit Share"), (1+((R15-MIN(return_mutiples))*(4)/(MAX(return_mutiples) - MIN(return_mutiples)))), "")</f>
        <v/>
      </c>
      <c r="EH15" s="115">
        <f t="shared" si="18"/>
        <v>4.6</v>
      </c>
      <c r="EI15" s="116" t="str">
        <f t="shared" si="19"/>
        <v>SAFE</v>
      </c>
      <c r="EJ15" s="117">
        <f t="shared" si="20"/>
        <v>0.3561643836</v>
      </c>
      <c r="EK15" s="116" t="str">
        <f t="shared" si="21"/>
        <v>Early</v>
      </c>
      <c r="EL15" s="112"/>
      <c r="EM15" s="118">
        <f t="shared" si="22"/>
        <v>3.3</v>
      </c>
      <c r="EN15" s="118">
        <f t="shared" si="23"/>
        <v>1.7</v>
      </c>
      <c r="EO15" s="119">
        <f t="shared" si="24"/>
        <v>5</v>
      </c>
      <c r="EP15" s="115">
        <f>1+((EO15-MIN(market_ratings_sums))*(4)/(MAX(market_ratings_sums) - MIN(market_ratings_sums)))</f>
        <v>2.614035088</v>
      </c>
      <c r="EQ15" s="116" t="str">
        <f t="shared" si="25"/>
        <v>No</v>
      </c>
      <c r="ER15" s="112"/>
      <c r="ES15" s="123">
        <f>1+((DX15-MIN(industry_experiences))*(4)/(MAX(industry_experiences) - MIN(industry_experiences)))</f>
        <v>1</v>
      </c>
      <c r="ET15" s="123">
        <f>1+((DY15-MIN(previous_startups))*(4)/(MAX(previous_startups) - MIN(previous_startups)))</f>
        <v>1.444444444</v>
      </c>
      <c r="EU15" s="123">
        <f>1+((DZ15-MIN(exits))*(4)/(MAX(exits) - MIN(exits)))</f>
        <v>1</v>
      </c>
      <c r="EV15" s="119">
        <f t="shared" si="26"/>
        <v>3.444444444</v>
      </c>
      <c r="EW15" s="124">
        <f>1+((EV15-MIN(team_ratings_sums))*(4)/(MAX(team_ratings_sums) - MIN(team_ratings_sums)))</f>
        <v>1.243478261</v>
      </c>
      <c r="EX15" s="116" t="str">
        <f t="shared" si="27"/>
        <v>35 - 54</v>
      </c>
      <c r="EY15" s="125">
        <f t="shared" si="28"/>
        <v>0.6849315068</v>
      </c>
      <c r="EZ15" s="116">
        <f t="shared" si="29"/>
        <v>1</v>
      </c>
      <c r="FA15" s="125">
        <f t="shared" si="30"/>
        <v>0.4383561644</v>
      </c>
      <c r="FB15" s="116">
        <f t="shared" si="31"/>
        <v>5</v>
      </c>
      <c r="FC15" s="125">
        <f t="shared" si="32"/>
        <v>0.1369863014</v>
      </c>
      <c r="FD15" s="116" t="str">
        <f t="shared" si="33"/>
        <v>No</v>
      </c>
      <c r="FE15" s="125">
        <f t="shared" si="34"/>
        <v>0.7534246575</v>
      </c>
      <c r="FF15" s="116" t="str">
        <f t="shared" ref="FF15:FH15" si="80">BJ15</f>
        <v>No</v>
      </c>
      <c r="FG15" s="116" t="str">
        <f t="shared" si="80"/>
        <v>No</v>
      </c>
      <c r="FH15" s="116" t="str">
        <f t="shared" si="80"/>
        <v>No</v>
      </c>
      <c r="FI15" s="112"/>
      <c r="FJ15" s="116" t="str">
        <f t="shared" si="36"/>
        <v>Transactional</v>
      </c>
      <c r="FK15" s="125">
        <f t="shared" si="37"/>
        <v>0.602739726</v>
      </c>
      <c r="FL15" s="116" t="str">
        <f t="shared" si="38"/>
        <v>B2C</v>
      </c>
      <c r="FM15" s="125">
        <f t="shared" si="39"/>
        <v>0.397260274</v>
      </c>
      <c r="FN15" s="116" t="str">
        <f t="shared" si="40"/>
        <v>Low</v>
      </c>
      <c r="FO15" s="125">
        <f t="shared" si="41"/>
        <v>0.4383561644</v>
      </c>
      <c r="FP15" s="116" t="str">
        <f t="shared" si="42"/>
        <v>High</v>
      </c>
      <c r="FQ15" s="125">
        <f t="shared" si="43"/>
        <v>0.6438356164</v>
      </c>
      <c r="FR15" s="112"/>
      <c r="FS15" s="123">
        <f t="shared" si="44"/>
        <v>5</v>
      </c>
      <c r="FT15" s="123">
        <f t="shared" si="45"/>
        <v>3.2</v>
      </c>
      <c r="FU15" s="123">
        <f t="shared" si="46"/>
        <v>5</v>
      </c>
      <c r="FV15" s="123">
        <f t="shared" si="47"/>
        <v>3.7</v>
      </c>
      <c r="FW15" s="119">
        <f t="shared" si="48"/>
        <v>16.9</v>
      </c>
      <c r="FX15" s="115">
        <f>1+((FW15-MIN(performance_ratings_sums))*(4)/(MAX(performance_ratings_sums) - MIN(performance_ratings_sums)))</f>
        <v>4.813084112</v>
      </c>
      <c r="FY15" s="116" t="str">
        <f t="shared" si="49"/>
        <v>Pre-Profit</v>
      </c>
      <c r="FZ15" s="126">
        <f t="shared" si="50"/>
        <v>0.4931506849</v>
      </c>
      <c r="GA15" s="112"/>
      <c r="GB15" s="127">
        <f t="shared" si="51"/>
        <v>3</v>
      </c>
      <c r="GC15" s="116" t="str">
        <f t="shared" si="52"/>
        <v>No</v>
      </c>
      <c r="GD15" s="126">
        <f t="shared" si="53"/>
        <v>0.7671232877</v>
      </c>
      <c r="GE15" s="126" t="str">
        <f t="shared" si="54"/>
        <v>Low</v>
      </c>
      <c r="GF15" s="126">
        <f t="shared" si="55"/>
        <v>0.5479452055</v>
      </c>
      <c r="GG15" s="126" t="str">
        <f t="shared" si="56"/>
        <v>High</v>
      </c>
      <c r="GH15" s="126">
        <f t="shared" si="57"/>
        <v>0.8082191781</v>
      </c>
      <c r="GI15" s="112"/>
      <c r="GJ15" s="116"/>
      <c r="GK15" s="119">
        <f t="shared" si="58"/>
        <v>16.27059746</v>
      </c>
      <c r="GL15" s="128">
        <f>1+((GK15-MIN(ratings_sums))*(4)/(MAX(ratings_sums) - MIN(ratings_sums)))</f>
        <v>3.785065796</v>
      </c>
    </row>
    <row r="16" ht="15.75" customHeight="1">
      <c r="A16" s="87" t="s">
        <v>427</v>
      </c>
      <c r="B16" s="135">
        <v>1736388.0</v>
      </c>
      <c r="C16" s="136" t="s">
        <v>615</v>
      </c>
      <c r="D16" s="147"/>
      <c r="E16" s="138" t="s">
        <v>381</v>
      </c>
      <c r="F16" s="139" t="s">
        <v>616</v>
      </c>
      <c r="G16" s="91" t="s">
        <v>617</v>
      </c>
      <c r="H16" s="140">
        <v>43907.0</v>
      </c>
      <c r="I16" s="136" t="s">
        <v>618</v>
      </c>
      <c r="J16" s="136" t="s">
        <v>615</v>
      </c>
      <c r="K16" s="138" t="s">
        <v>515</v>
      </c>
      <c r="L16" s="138" t="s">
        <v>133</v>
      </c>
      <c r="M16" s="138" t="s">
        <v>31</v>
      </c>
      <c r="N16" s="138" t="s">
        <v>32</v>
      </c>
      <c r="O16" s="138" t="s">
        <v>35</v>
      </c>
      <c r="P16" s="90"/>
      <c r="Q16" s="138" t="s">
        <v>84</v>
      </c>
      <c r="R16" s="93"/>
      <c r="S16" s="94"/>
      <c r="T16" s="95"/>
      <c r="U16" s="17">
        <v>8000000.0</v>
      </c>
      <c r="V16" s="142">
        <v>0.18</v>
      </c>
      <c r="W16" s="96">
        <f t="shared" si="3"/>
        <v>6560000</v>
      </c>
      <c r="X16" s="98">
        <f t="shared" si="4"/>
        <v>6560000</v>
      </c>
      <c r="Y16" s="99" t="str">
        <f t="shared" si="5"/>
        <v>$6M - $8M</v>
      </c>
      <c r="Z16" s="138" t="s">
        <v>36</v>
      </c>
      <c r="AA16" s="138" t="s">
        <v>37</v>
      </c>
      <c r="AB16" s="143" t="s">
        <v>88</v>
      </c>
      <c r="AC16" s="138" t="s">
        <v>493</v>
      </c>
      <c r="AD16" s="143" t="s">
        <v>39</v>
      </c>
      <c r="AE16" s="143" t="s">
        <v>39</v>
      </c>
      <c r="AF16" s="138" t="s">
        <v>493</v>
      </c>
      <c r="AG16" s="144">
        <v>9.9E9</v>
      </c>
      <c r="AH16" s="97" t="str">
        <f t="shared" si="6"/>
        <v>$5B-$10B</v>
      </c>
      <c r="AI16" s="17">
        <v>8.44E9</v>
      </c>
      <c r="AJ16" s="97" t="str">
        <f t="shared" si="7"/>
        <v>$5B-$10B</v>
      </c>
      <c r="AK16" s="145">
        <v>0.177</v>
      </c>
      <c r="AL16" s="88" t="str">
        <f t="shared" si="8"/>
        <v>10%-20%</v>
      </c>
      <c r="AM16" s="135">
        <v>20.0</v>
      </c>
      <c r="AN16" s="143" t="s">
        <v>39</v>
      </c>
      <c r="AO16" s="138" t="s">
        <v>89</v>
      </c>
      <c r="AP16" s="138" t="s">
        <v>90</v>
      </c>
      <c r="AQ16" s="136" t="s">
        <v>89</v>
      </c>
      <c r="AR16" s="143" t="s">
        <v>39</v>
      </c>
      <c r="AS16" s="138" t="s">
        <v>469</v>
      </c>
      <c r="AT16" s="138" t="s">
        <v>493</v>
      </c>
      <c r="AU16" s="138" t="s">
        <v>469</v>
      </c>
      <c r="AV16" s="138" t="s">
        <v>469</v>
      </c>
      <c r="AW16" s="17">
        <v>0.0</v>
      </c>
      <c r="AX16" s="96" t="str">
        <f t="shared" si="9"/>
        <v>&lt; $10K</v>
      </c>
      <c r="AY16" s="17">
        <v>14347.0</v>
      </c>
      <c r="AZ16" s="144">
        <v>550000.0</v>
      </c>
      <c r="BA16" s="103" t="str">
        <f t="shared" si="10"/>
        <v>$500K - $1M</v>
      </c>
      <c r="BB16" s="103">
        <f t="shared" si="11"/>
        <v>0.02608545455</v>
      </c>
      <c r="BC16" s="103" t="str">
        <f t="shared" si="12"/>
        <v>&lt; 10%</v>
      </c>
      <c r="BD16" s="138" t="s">
        <v>41</v>
      </c>
      <c r="BE16" s="90"/>
      <c r="BF16" s="138" t="s">
        <v>493</v>
      </c>
      <c r="BG16" s="135">
        <v>7.0</v>
      </c>
      <c r="BH16" s="135">
        <v>1.0</v>
      </c>
      <c r="BI16" s="138" t="s">
        <v>469</v>
      </c>
      <c r="BJ16" s="138" t="s">
        <v>469</v>
      </c>
      <c r="BK16" s="138" t="s">
        <v>469</v>
      </c>
      <c r="BL16" s="138" t="s">
        <v>469</v>
      </c>
      <c r="BM16" s="135">
        <v>2.0</v>
      </c>
      <c r="BN16" s="135">
        <v>5.0</v>
      </c>
      <c r="BO16" s="135">
        <v>1.0</v>
      </c>
      <c r="BP16" s="135">
        <v>2.0</v>
      </c>
      <c r="BQ16" s="104"/>
      <c r="BR16" s="146">
        <v>2.0</v>
      </c>
      <c r="BS16" s="146">
        <v>0.0</v>
      </c>
      <c r="BT16" s="146">
        <v>0.0</v>
      </c>
      <c r="BU16" s="146">
        <v>28.0</v>
      </c>
      <c r="BV16" s="136" t="s">
        <v>493</v>
      </c>
      <c r="BW16" s="104"/>
      <c r="BX16" s="87"/>
      <c r="BY16" s="87"/>
      <c r="BZ16" s="87"/>
      <c r="CA16" s="87"/>
      <c r="CB16" s="87"/>
      <c r="CC16" s="104"/>
      <c r="CD16" s="87"/>
      <c r="CE16" s="87"/>
      <c r="CF16" s="87"/>
      <c r="CG16" s="87"/>
      <c r="CH16" s="87"/>
      <c r="CI16" s="104"/>
      <c r="CJ16" s="87"/>
      <c r="CK16" s="87"/>
      <c r="CL16" s="87"/>
      <c r="CM16" s="87"/>
      <c r="CN16" s="87"/>
      <c r="CO16" s="104"/>
      <c r="CP16" s="87"/>
      <c r="CQ16" s="87"/>
      <c r="CR16" s="87"/>
      <c r="CS16" s="87"/>
      <c r="CT16" s="87"/>
      <c r="CU16" s="104"/>
      <c r="CV16" s="87"/>
      <c r="CW16" s="87"/>
      <c r="CX16" s="87"/>
      <c r="CY16" s="87"/>
      <c r="CZ16" s="87"/>
      <c r="DA16" s="104"/>
      <c r="DB16" s="87"/>
      <c r="DC16" s="87"/>
      <c r="DD16" s="87"/>
      <c r="DE16" s="87"/>
      <c r="DF16" s="87"/>
      <c r="DG16" s="104"/>
      <c r="DH16" s="87"/>
      <c r="DI16" s="87"/>
      <c r="DJ16" s="87"/>
      <c r="DK16" s="87"/>
      <c r="DL16" s="87"/>
      <c r="DM16" s="104"/>
      <c r="DN16" s="87"/>
      <c r="DO16" s="87"/>
      <c r="DP16" s="87"/>
      <c r="DQ16" s="87"/>
      <c r="DR16" s="87"/>
      <c r="DS16" s="130"/>
      <c r="DT16" s="108"/>
      <c r="DU16" s="108"/>
      <c r="DW16" s="109"/>
      <c r="DX16" s="110">
        <f t="shared" si="13"/>
        <v>2</v>
      </c>
      <c r="DY16" s="111">
        <f t="shared" ref="DY16:DZ16" si="81">sum(BS16,BY16,CE16,CK16,CQ16,CW16,DC16,DI16,DO16)</f>
        <v>0</v>
      </c>
      <c r="DZ16" s="111">
        <f t="shared" si="81"/>
        <v>0</v>
      </c>
      <c r="EA16" s="110">
        <f t="shared" si="15"/>
        <v>28</v>
      </c>
      <c r="EB16" s="99" t="str">
        <f t="shared" si="16"/>
        <v>20 - 34</v>
      </c>
      <c r="EC16" s="112"/>
      <c r="ED16" s="113">
        <f t="shared" si="17"/>
        <v>4.2</v>
      </c>
      <c r="EE16" s="114">
        <f>IF(V16 &lt;&gt; "", 1+((V16-MIN(discount_rates))*(4)/(MAX(discount_rates) - MIN(discount_rates))), "")</f>
        <v>2.894736842</v>
      </c>
      <c r="EF16" s="114" t="str">
        <f>IF(Q16="Debt", (1+((S16-MIN(interest_rates))*(4)/(MAX(interest_rates) - MIN(interest_rates)))), "")</f>
        <v/>
      </c>
      <c r="EG16" s="114" t="str">
        <f>IF(OR(Q16="Revenue Share", Q16="Profit Share"), (1+((R16-MIN(return_mutiples))*(4)/(MAX(return_mutiples) - MIN(return_mutiples)))), "")</f>
        <v/>
      </c>
      <c r="EH16" s="115">
        <f t="shared" si="18"/>
        <v>4.2</v>
      </c>
      <c r="EI16" s="116" t="str">
        <f t="shared" si="19"/>
        <v>Convertible Note</v>
      </c>
      <c r="EJ16" s="117">
        <f t="shared" si="20"/>
        <v>0.1232876712</v>
      </c>
      <c r="EK16" s="116" t="str">
        <f t="shared" si="21"/>
        <v>Early</v>
      </c>
      <c r="EL16" s="112"/>
      <c r="EM16" s="118">
        <f t="shared" si="22"/>
        <v>3</v>
      </c>
      <c r="EN16" s="118">
        <f t="shared" si="23"/>
        <v>2.3</v>
      </c>
      <c r="EO16" s="119">
        <f t="shared" si="24"/>
        <v>5.3</v>
      </c>
      <c r="EP16" s="115">
        <f>1+((EO16-MIN(market_ratings_sums))*(4)/(MAX(market_ratings_sums) - MIN(market_ratings_sums)))</f>
        <v>2.824561404</v>
      </c>
      <c r="EQ16" s="116" t="str">
        <f t="shared" si="25"/>
        <v>No</v>
      </c>
      <c r="ER16" s="112"/>
      <c r="ES16" s="123">
        <f>1+((DX16-MIN(industry_experiences))*(4)/(MAX(industry_experiences) - MIN(industry_experiences)))</f>
        <v>1.19047619</v>
      </c>
      <c r="ET16" s="123">
        <f>1+((DY16-MIN(previous_startups))*(4)/(MAX(previous_startups) - MIN(previous_startups)))</f>
        <v>1</v>
      </c>
      <c r="EU16" s="123">
        <f>1+((DZ16-MIN(exits))*(4)/(MAX(exits) - MIN(exits)))</f>
        <v>1</v>
      </c>
      <c r="EV16" s="119">
        <f t="shared" si="26"/>
        <v>3.19047619</v>
      </c>
      <c r="EW16" s="124">
        <f>1+((EV16-MIN(team_ratings_sums))*(4)/(MAX(team_ratings_sums) - MIN(team_ratings_sums)))</f>
        <v>1.104347826</v>
      </c>
      <c r="EX16" s="116" t="str">
        <f t="shared" si="27"/>
        <v>20 - 34</v>
      </c>
      <c r="EY16" s="125">
        <f t="shared" si="28"/>
        <v>0.2054794521</v>
      </c>
      <c r="EZ16" s="116">
        <f t="shared" si="29"/>
        <v>1</v>
      </c>
      <c r="FA16" s="125">
        <f t="shared" si="30"/>
        <v>0.4383561644</v>
      </c>
      <c r="FB16" s="116">
        <f t="shared" si="31"/>
        <v>5</v>
      </c>
      <c r="FC16" s="125">
        <f t="shared" si="32"/>
        <v>0.1369863014</v>
      </c>
      <c r="FD16" s="116" t="str">
        <f t="shared" si="33"/>
        <v>No</v>
      </c>
      <c r="FE16" s="125">
        <f t="shared" si="34"/>
        <v>0.7534246575</v>
      </c>
      <c r="FF16" s="116" t="str">
        <f t="shared" ref="FF16:FH16" si="82">BJ16</f>
        <v>No</v>
      </c>
      <c r="FG16" s="116" t="str">
        <f t="shared" si="82"/>
        <v>No</v>
      </c>
      <c r="FH16" s="116" t="str">
        <f t="shared" si="82"/>
        <v>No</v>
      </c>
      <c r="FI16" s="112"/>
      <c r="FJ16" s="116" t="str">
        <f t="shared" si="36"/>
        <v>Transactional</v>
      </c>
      <c r="FK16" s="125">
        <f t="shared" si="37"/>
        <v>0.602739726</v>
      </c>
      <c r="FL16" s="116" t="str">
        <f t="shared" si="38"/>
        <v>B2B</v>
      </c>
      <c r="FM16" s="125">
        <f t="shared" si="39"/>
        <v>0.2465753425</v>
      </c>
      <c r="FN16" s="116" t="str">
        <f t="shared" si="40"/>
        <v>High</v>
      </c>
      <c r="FO16" s="125">
        <f t="shared" si="41"/>
        <v>0.5616438356</v>
      </c>
      <c r="FP16" s="116" t="str">
        <f t="shared" si="42"/>
        <v>High</v>
      </c>
      <c r="FQ16" s="125">
        <f t="shared" si="43"/>
        <v>0.6438356164</v>
      </c>
      <c r="FR16" s="112"/>
      <c r="FS16" s="123">
        <f t="shared" si="44"/>
        <v>1</v>
      </c>
      <c r="FT16" s="123">
        <f t="shared" si="45"/>
        <v>1</v>
      </c>
      <c r="FU16" s="123">
        <f t="shared" si="46"/>
        <v>5</v>
      </c>
      <c r="FV16" s="123">
        <f t="shared" si="47"/>
        <v>3.2</v>
      </c>
      <c r="FW16" s="119">
        <f t="shared" si="48"/>
        <v>10.2</v>
      </c>
      <c r="FX16" s="115">
        <f>1+((FW16-MIN(performance_ratings_sums))*(4)/(MAX(performance_ratings_sums) - MIN(performance_ratings_sums)))</f>
        <v>2.308411215</v>
      </c>
      <c r="FY16" s="116" t="str">
        <f t="shared" si="49"/>
        <v>Pre-Product</v>
      </c>
      <c r="FZ16" s="126">
        <f t="shared" si="50"/>
        <v>0.2328767123</v>
      </c>
      <c r="GA16" s="112"/>
      <c r="GB16" s="127">
        <f t="shared" si="51"/>
        <v>3</v>
      </c>
      <c r="GC16" s="116" t="str">
        <f t="shared" si="52"/>
        <v>Yes</v>
      </c>
      <c r="GD16" s="126">
        <f t="shared" si="53"/>
        <v>0.2328767123</v>
      </c>
      <c r="GE16" s="126" t="str">
        <f t="shared" si="54"/>
        <v>Low</v>
      </c>
      <c r="GF16" s="126">
        <f t="shared" si="55"/>
        <v>0.5479452055</v>
      </c>
      <c r="GG16" s="126" t="str">
        <f t="shared" si="56"/>
        <v>High</v>
      </c>
      <c r="GH16" s="126">
        <f t="shared" si="57"/>
        <v>0.8082191781</v>
      </c>
      <c r="GI16" s="112"/>
      <c r="GJ16" s="116"/>
      <c r="GK16" s="119">
        <f t="shared" si="58"/>
        <v>13.43732044</v>
      </c>
      <c r="GL16" s="128">
        <f>1+((GK16-MIN(ratings_sums))*(4)/(MAX(ratings_sums) - MIN(ratings_sums)))</f>
        <v>2.915703169</v>
      </c>
    </row>
    <row r="17" ht="15.75" customHeight="1">
      <c r="A17" s="87" t="s">
        <v>427</v>
      </c>
      <c r="B17" s="135">
        <v>1689683.0</v>
      </c>
      <c r="C17" s="136" t="s">
        <v>619</v>
      </c>
      <c r="D17" s="147"/>
      <c r="E17" s="138" t="s">
        <v>336</v>
      </c>
      <c r="F17" s="139" t="s">
        <v>620</v>
      </c>
      <c r="G17" s="91" t="s">
        <v>621</v>
      </c>
      <c r="H17" s="140">
        <v>43908.0</v>
      </c>
      <c r="I17" s="136" t="s">
        <v>622</v>
      </c>
      <c r="J17" s="136" t="s">
        <v>619</v>
      </c>
      <c r="K17" s="138" t="s">
        <v>448</v>
      </c>
      <c r="L17" s="138" t="s">
        <v>390</v>
      </c>
      <c r="M17" s="138" t="s">
        <v>31</v>
      </c>
      <c r="N17" s="138" t="s">
        <v>32</v>
      </c>
      <c r="O17" s="138" t="s">
        <v>35</v>
      </c>
      <c r="P17" s="90"/>
      <c r="Q17" s="138" t="s">
        <v>84</v>
      </c>
      <c r="R17" s="93"/>
      <c r="S17" s="94"/>
      <c r="T17" s="95"/>
      <c r="U17" s="17">
        <v>4000000.0</v>
      </c>
      <c r="V17" s="142">
        <v>0.2</v>
      </c>
      <c r="W17" s="96">
        <f t="shared" si="3"/>
        <v>3200000</v>
      </c>
      <c r="X17" s="98">
        <f t="shared" si="4"/>
        <v>3200000</v>
      </c>
      <c r="Y17" s="99" t="str">
        <f t="shared" si="5"/>
        <v>$2M - $4M</v>
      </c>
      <c r="Z17" s="138" t="s">
        <v>36</v>
      </c>
      <c r="AA17" s="138" t="s">
        <v>123</v>
      </c>
      <c r="AB17" s="138" t="s">
        <v>38</v>
      </c>
      <c r="AC17" s="138" t="s">
        <v>469</v>
      </c>
      <c r="AD17" s="138" t="s">
        <v>89</v>
      </c>
      <c r="AE17" s="143" t="s">
        <v>39</v>
      </c>
      <c r="AF17" s="138" t="s">
        <v>493</v>
      </c>
      <c r="AG17" s="144">
        <v>8.06E11</v>
      </c>
      <c r="AH17" s="97" t="str">
        <f t="shared" si="6"/>
        <v>$500B-$1T</v>
      </c>
      <c r="AI17" s="17">
        <v>1.25E10</v>
      </c>
      <c r="AJ17" s="97" t="str">
        <f t="shared" si="7"/>
        <v>$10B-$25B</v>
      </c>
      <c r="AK17" s="145">
        <v>0.118</v>
      </c>
      <c r="AL17" s="88" t="str">
        <f t="shared" si="8"/>
        <v>10%-20%</v>
      </c>
      <c r="AM17" s="135">
        <v>3.0</v>
      </c>
      <c r="AN17" s="143" t="s">
        <v>39</v>
      </c>
      <c r="AO17" s="138" t="s">
        <v>89</v>
      </c>
      <c r="AP17" s="138" t="s">
        <v>40</v>
      </c>
      <c r="AQ17" s="136" t="s">
        <v>89</v>
      </c>
      <c r="AR17" s="143" t="s">
        <v>39</v>
      </c>
      <c r="AS17" s="138" t="s">
        <v>469</v>
      </c>
      <c r="AT17" s="138" t="s">
        <v>469</v>
      </c>
      <c r="AU17" s="138" t="s">
        <v>493</v>
      </c>
      <c r="AV17" s="138" t="s">
        <v>493</v>
      </c>
      <c r="AW17" s="17">
        <v>489576.0</v>
      </c>
      <c r="AX17" s="96" t="str">
        <f t="shared" si="9"/>
        <v>$100K - $500K</v>
      </c>
      <c r="AY17" s="17">
        <v>12123.0</v>
      </c>
      <c r="AZ17" s="144">
        <v>0.0</v>
      </c>
      <c r="BA17" s="103" t="str">
        <f t="shared" si="10"/>
        <v>&lt; $10K</v>
      </c>
      <c r="BB17" s="103">
        <f t="shared" si="11"/>
        <v>1</v>
      </c>
      <c r="BC17" s="103" t="str">
        <f t="shared" si="12"/>
        <v>90% - 100%</v>
      </c>
      <c r="BD17" s="138" t="s">
        <v>107</v>
      </c>
      <c r="BE17" s="90"/>
      <c r="BF17" s="138" t="s">
        <v>493</v>
      </c>
      <c r="BG17" s="135">
        <v>9.0</v>
      </c>
      <c r="BH17" s="135">
        <v>1.0</v>
      </c>
      <c r="BI17" s="138" t="s">
        <v>469</v>
      </c>
      <c r="BJ17" s="138" t="s">
        <v>469</v>
      </c>
      <c r="BK17" s="138" t="s">
        <v>469</v>
      </c>
      <c r="BL17" s="138" t="s">
        <v>469</v>
      </c>
      <c r="BM17" s="135">
        <v>1.0</v>
      </c>
      <c r="BN17" s="135">
        <v>2.0</v>
      </c>
      <c r="BO17" s="135">
        <v>0.0</v>
      </c>
      <c r="BP17" s="135">
        <v>0.0</v>
      </c>
      <c r="BQ17" s="104"/>
      <c r="BR17" s="146">
        <v>9.0</v>
      </c>
      <c r="BS17" s="146">
        <v>0.0</v>
      </c>
      <c r="BT17" s="146">
        <v>0.0</v>
      </c>
      <c r="BU17" s="146">
        <v>39.0</v>
      </c>
      <c r="BV17" s="136" t="s">
        <v>469</v>
      </c>
      <c r="BW17" s="104"/>
      <c r="BX17" s="87"/>
      <c r="BY17" s="87"/>
      <c r="BZ17" s="87"/>
      <c r="CA17" s="87"/>
      <c r="CB17" s="87"/>
      <c r="CC17" s="104"/>
      <c r="CD17" s="87"/>
      <c r="CE17" s="87"/>
      <c r="CF17" s="87"/>
      <c r="CG17" s="87"/>
      <c r="CH17" s="87"/>
      <c r="CI17" s="104"/>
      <c r="CJ17" s="87"/>
      <c r="CK17" s="87"/>
      <c r="CL17" s="87"/>
      <c r="CM17" s="87"/>
      <c r="CN17" s="87"/>
      <c r="CO17" s="104"/>
      <c r="CP17" s="87"/>
      <c r="CQ17" s="87"/>
      <c r="CR17" s="87"/>
      <c r="CS17" s="87"/>
      <c r="CT17" s="87"/>
      <c r="CU17" s="104"/>
      <c r="CV17" s="87"/>
      <c r="CW17" s="87"/>
      <c r="CX17" s="87"/>
      <c r="CY17" s="87"/>
      <c r="CZ17" s="87"/>
      <c r="DA17" s="104"/>
      <c r="DB17" s="87"/>
      <c r="DC17" s="87"/>
      <c r="DD17" s="87"/>
      <c r="DE17" s="87"/>
      <c r="DF17" s="87"/>
      <c r="DG17" s="104"/>
      <c r="DH17" s="87"/>
      <c r="DI17" s="87"/>
      <c r="DJ17" s="87"/>
      <c r="DK17" s="87"/>
      <c r="DL17" s="87"/>
      <c r="DM17" s="104"/>
      <c r="DN17" s="87"/>
      <c r="DO17" s="87"/>
      <c r="DP17" s="87"/>
      <c r="DQ17" s="87"/>
      <c r="DR17" s="87"/>
      <c r="DS17" s="130"/>
      <c r="DT17" s="108"/>
      <c r="DU17" s="108"/>
      <c r="DW17" s="109"/>
      <c r="DX17" s="110">
        <f t="shared" si="13"/>
        <v>9</v>
      </c>
      <c r="DY17" s="111">
        <f t="shared" ref="DY17:DZ17" si="83">sum(BS17,BY17,CE17,CK17,CQ17,CW17,DC17,DI17,DO17)</f>
        <v>0</v>
      </c>
      <c r="DZ17" s="111">
        <f t="shared" si="83"/>
        <v>0</v>
      </c>
      <c r="EA17" s="110">
        <f t="shared" si="15"/>
        <v>39</v>
      </c>
      <c r="EB17" s="99" t="str">
        <f t="shared" si="16"/>
        <v>35 - 54</v>
      </c>
      <c r="EC17" s="112"/>
      <c r="ED17" s="113">
        <f t="shared" si="17"/>
        <v>4.6</v>
      </c>
      <c r="EE17" s="114">
        <f>IF(V17 &lt;&gt; "", 1+((V17-MIN(discount_rates))*(4)/(MAX(discount_rates) - MIN(discount_rates))), "")</f>
        <v>3.105263158</v>
      </c>
      <c r="EF17" s="114" t="str">
        <f>IF(Q17="Debt", (1+((S17-MIN(interest_rates))*(4)/(MAX(interest_rates) - MIN(interest_rates)))), "")</f>
        <v/>
      </c>
      <c r="EG17" s="114" t="str">
        <f>IF(OR(Q17="Revenue Share", Q17="Profit Share"), (1+((R17-MIN(return_mutiples))*(4)/(MAX(return_mutiples) - MIN(return_mutiples)))), "")</f>
        <v/>
      </c>
      <c r="EH17" s="115">
        <f t="shared" si="18"/>
        <v>4.6</v>
      </c>
      <c r="EI17" s="116" t="str">
        <f t="shared" si="19"/>
        <v>Convertible Note</v>
      </c>
      <c r="EJ17" s="117">
        <f t="shared" si="20"/>
        <v>0.1232876712</v>
      </c>
      <c r="EK17" s="116" t="str">
        <f t="shared" si="21"/>
        <v>Early</v>
      </c>
      <c r="EL17" s="112"/>
      <c r="EM17" s="118">
        <f t="shared" si="22"/>
        <v>3.3</v>
      </c>
      <c r="EN17" s="118">
        <f t="shared" si="23"/>
        <v>2.3</v>
      </c>
      <c r="EO17" s="119">
        <f t="shared" si="24"/>
        <v>5.6</v>
      </c>
      <c r="EP17" s="115">
        <f>1+((EO17-MIN(market_ratings_sums))*(4)/(MAX(market_ratings_sums) - MIN(market_ratings_sums)))</f>
        <v>3.035087719</v>
      </c>
      <c r="EQ17" s="116" t="str">
        <f t="shared" si="25"/>
        <v>No</v>
      </c>
      <c r="ER17" s="112"/>
      <c r="ES17" s="123">
        <f>1+((DX17-MIN(industry_experiences))*(4)/(MAX(industry_experiences) - MIN(industry_experiences)))</f>
        <v>1.857142857</v>
      </c>
      <c r="ET17" s="123">
        <f>1+((DY17-MIN(previous_startups))*(4)/(MAX(previous_startups) - MIN(previous_startups)))</f>
        <v>1</v>
      </c>
      <c r="EU17" s="123">
        <f>1+((DZ17-MIN(exits))*(4)/(MAX(exits) - MIN(exits)))</f>
        <v>1</v>
      </c>
      <c r="EV17" s="119">
        <f t="shared" si="26"/>
        <v>3.857142857</v>
      </c>
      <c r="EW17" s="124">
        <f>1+((EV17-MIN(team_ratings_sums))*(4)/(MAX(team_ratings_sums) - MIN(team_ratings_sums)))</f>
        <v>1.469565217</v>
      </c>
      <c r="EX17" s="116" t="str">
        <f t="shared" si="27"/>
        <v>35 - 54</v>
      </c>
      <c r="EY17" s="125">
        <f t="shared" si="28"/>
        <v>0.6849315068</v>
      </c>
      <c r="EZ17" s="116">
        <f t="shared" si="29"/>
        <v>1</v>
      </c>
      <c r="FA17" s="125">
        <f t="shared" si="30"/>
        <v>0.4383561644</v>
      </c>
      <c r="FB17" s="116">
        <f t="shared" si="31"/>
        <v>2</v>
      </c>
      <c r="FC17" s="125">
        <f t="shared" si="32"/>
        <v>0.1369863014</v>
      </c>
      <c r="FD17" s="116" t="str">
        <f t="shared" si="33"/>
        <v>No</v>
      </c>
      <c r="FE17" s="125">
        <f t="shared" si="34"/>
        <v>0.7534246575</v>
      </c>
      <c r="FF17" s="116" t="str">
        <f t="shared" ref="FF17:FH17" si="84">BJ17</f>
        <v>No</v>
      </c>
      <c r="FG17" s="116" t="str">
        <f t="shared" si="84"/>
        <v>No</v>
      </c>
      <c r="FH17" s="116" t="str">
        <f t="shared" si="84"/>
        <v>No</v>
      </c>
      <c r="FI17" s="112"/>
      <c r="FJ17" s="116" t="str">
        <f t="shared" si="36"/>
        <v>Transactional</v>
      </c>
      <c r="FK17" s="125">
        <f t="shared" si="37"/>
        <v>0.602739726</v>
      </c>
      <c r="FL17" s="116" t="str">
        <f t="shared" si="38"/>
        <v>B2B/B2C</v>
      </c>
      <c r="FM17" s="125">
        <f t="shared" si="39"/>
        <v>0.3287671233</v>
      </c>
      <c r="FN17" s="116" t="str">
        <f t="shared" si="40"/>
        <v>Low</v>
      </c>
      <c r="FO17" s="125">
        <f t="shared" si="41"/>
        <v>0.4383561644</v>
      </c>
      <c r="FP17" s="116" t="str">
        <f t="shared" si="42"/>
        <v>High</v>
      </c>
      <c r="FQ17" s="125">
        <f t="shared" si="43"/>
        <v>0.6438356164</v>
      </c>
      <c r="FR17" s="112"/>
      <c r="FS17" s="123">
        <f t="shared" si="44"/>
        <v>5</v>
      </c>
      <c r="FT17" s="123">
        <f t="shared" si="45"/>
        <v>2.3</v>
      </c>
      <c r="FU17" s="123">
        <f t="shared" si="46"/>
        <v>1</v>
      </c>
      <c r="FV17" s="123">
        <f t="shared" si="47"/>
        <v>5</v>
      </c>
      <c r="FW17" s="119">
        <f t="shared" si="48"/>
        <v>13.3</v>
      </c>
      <c r="FX17" s="115">
        <f>1+((FW17-MIN(performance_ratings_sums))*(4)/(MAX(performance_ratings_sums) - MIN(performance_ratings_sums)))</f>
        <v>3.46728972</v>
      </c>
      <c r="FY17" s="116" t="str">
        <f t="shared" si="49"/>
        <v>Pre-Profit</v>
      </c>
      <c r="FZ17" s="126">
        <f t="shared" si="50"/>
        <v>0.4931506849</v>
      </c>
      <c r="GA17" s="112"/>
      <c r="GB17" s="127">
        <f t="shared" si="51"/>
        <v>3</v>
      </c>
      <c r="GC17" s="116" t="str">
        <f t="shared" si="52"/>
        <v>No</v>
      </c>
      <c r="GD17" s="126">
        <f t="shared" si="53"/>
        <v>0.7671232877</v>
      </c>
      <c r="GE17" s="126" t="str">
        <f t="shared" si="54"/>
        <v>Low</v>
      </c>
      <c r="GF17" s="126">
        <f t="shared" si="55"/>
        <v>0.5479452055</v>
      </c>
      <c r="GG17" s="126" t="str">
        <f t="shared" si="56"/>
        <v>High</v>
      </c>
      <c r="GH17" s="126">
        <f t="shared" si="57"/>
        <v>0.8082191781</v>
      </c>
      <c r="GI17" s="112"/>
      <c r="GJ17" s="116"/>
      <c r="GK17" s="119">
        <f t="shared" si="58"/>
        <v>15.57194266</v>
      </c>
      <c r="GL17" s="128">
        <f>1+((GK17-MIN(ratings_sums))*(4)/(MAX(ratings_sums) - MIN(ratings_sums)))</f>
        <v>3.570690579</v>
      </c>
    </row>
    <row r="18" ht="15.75" customHeight="1">
      <c r="A18" s="87" t="s">
        <v>427</v>
      </c>
      <c r="B18" s="135">
        <v>1807032.0</v>
      </c>
      <c r="C18" s="136" t="s">
        <v>623</v>
      </c>
      <c r="D18" s="147"/>
      <c r="E18" s="138" t="s">
        <v>381</v>
      </c>
      <c r="F18" s="139" t="s">
        <v>624</v>
      </c>
      <c r="G18" s="91" t="s">
        <v>625</v>
      </c>
      <c r="H18" s="140">
        <v>43909.0</v>
      </c>
      <c r="I18" s="136" t="s">
        <v>623</v>
      </c>
      <c r="J18" s="136" t="s">
        <v>626</v>
      </c>
      <c r="K18" s="138" t="s">
        <v>153</v>
      </c>
      <c r="L18" s="138" t="s">
        <v>390</v>
      </c>
      <c r="M18" s="138" t="s">
        <v>31</v>
      </c>
      <c r="N18" s="138" t="s">
        <v>32</v>
      </c>
      <c r="O18" s="138" t="s">
        <v>35</v>
      </c>
      <c r="P18" s="90"/>
      <c r="Q18" s="138" t="s">
        <v>121</v>
      </c>
      <c r="R18" s="93"/>
      <c r="S18" s="94"/>
      <c r="T18" s="17">
        <v>7100000.0</v>
      </c>
      <c r="U18" s="95"/>
      <c r="V18" s="129"/>
      <c r="W18" s="96" t="str">
        <f t="shared" si="3"/>
        <v/>
      </c>
      <c r="X18" s="98">
        <f t="shared" si="4"/>
        <v>7100000</v>
      </c>
      <c r="Y18" s="99" t="str">
        <f t="shared" si="5"/>
        <v>$6M - $8M</v>
      </c>
      <c r="Z18" s="138" t="s">
        <v>36</v>
      </c>
      <c r="AA18" s="138" t="s">
        <v>87</v>
      </c>
      <c r="AB18" s="138" t="s">
        <v>38</v>
      </c>
      <c r="AC18" s="138" t="s">
        <v>469</v>
      </c>
      <c r="AD18" s="138" t="s">
        <v>89</v>
      </c>
      <c r="AE18" s="143" t="s">
        <v>39</v>
      </c>
      <c r="AF18" s="138" t="s">
        <v>469</v>
      </c>
      <c r="AG18" s="144">
        <v>2.076E11</v>
      </c>
      <c r="AH18" s="97" t="str">
        <f t="shared" si="6"/>
        <v>$100B-$250B</v>
      </c>
      <c r="AI18" s="17">
        <v>2.88E7</v>
      </c>
      <c r="AJ18" s="97" t="str">
        <f t="shared" si="7"/>
        <v>$25M-$50M</v>
      </c>
      <c r="AK18" s="145">
        <v>0.062</v>
      </c>
      <c r="AL18" s="88" t="str">
        <f t="shared" si="8"/>
        <v>0%-10%</v>
      </c>
      <c r="AM18" s="135">
        <v>32.0</v>
      </c>
      <c r="AN18" s="143" t="s">
        <v>39</v>
      </c>
      <c r="AO18" s="138" t="s">
        <v>89</v>
      </c>
      <c r="AP18" s="138" t="s">
        <v>40</v>
      </c>
      <c r="AQ18" s="136" t="s">
        <v>89</v>
      </c>
      <c r="AR18" s="143" t="s">
        <v>39</v>
      </c>
      <c r="AS18" s="138" t="s">
        <v>493</v>
      </c>
      <c r="AT18" s="138" t="s">
        <v>469</v>
      </c>
      <c r="AU18" s="138" t="s">
        <v>493</v>
      </c>
      <c r="AV18" s="138" t="s">
        <v>493</v>
      </c>
      <c r="AW18" s="17">
        <v>244163.0</v>
      </c>
      <c r="AX18" s="96" t="str">
        <f t="shared" si="9"/>
        <v>$100K - $500K</v>
      </c>
      <c r="AY18" s="17">
        <v>2256.0</v>
      </c>
      <c r="AZ18" s="101">
        <v>0.0</v>
      </c>
      <c r="BA18" s="103" t="str">
        <f t="shared" si="10"/>
        <v>&lt; $10K</v>
      </c>
      <c r="BB18" s="103">
        <f t="shared" si="11"/>
        <v>1</v>
      </c>
      <c r="BC18" s="103" t="str">
        <f t="shared" si="12"/>
        <v>90% - 100%</v>
      </c>
      <c r="BD18" s="138" t="s">
        <v>107</v>
      </c>
      <c r="BE18" s="90"/>
      <c r="BF18" s="138" t="s">
        <v>493</v>
      </c>
      <c r="BG18" s="135">
        <v>1.0</v>
      </c>
      <c r="BH18" s="135">
        <v>1.0</v>
      </c>
      <c r="BI18" s="138" t="s">
        <v>469</v>
      </c>
      <c r="BJ18" s="138" t="s">
        <v>469</v>
      </c>
      <c r="BK18" s="138" t="s">
        <v>469</v>
      </c>
      <c r="BL18" s="138" t="s">
        <v>469</v>
      </c>
      <c r="BM18" s="135">
        <v>1.0</v>
      </c>
      <c r="BN18" s="135">
        <v>3.0</v>
      </c>
      <c r="BO18" s="135">
        <v>0.0</v>
      </c>
      <c r="BP18" s="135">
        <v>0.0</v>
      </c>
      <c r="BQ18" s="104"/>
      <c r="BR18" s="146">
        <v>0.0</v>
      </c>
      <c r="BS18" s="146">
        <v>1.0</v>
      </c>
      <c r="BT18" s="146">
        <v>0.0</v>
      </c>
      <c r="BU18" s="146">
        <v>30.0</v>
      </c>
      <c r="BV18" s="136" t="s">
        <v>493</v>
      </c>
      <c r="BW18" s="104"/>
      <c r="BX18" s="87"/>
      <c r="BY18" s="87"/>
      <c r="BZ18" s="87"/>
      <c r="CA18" s="87"/>
      <c r="CB18" s="87"/>
      <c r="CC18" s="104"/>
      <c r="CD18" s="87"/>
      <c r="CE18" s="87"/>
      <c r="CF18" s="87"/>
      <c r="CG18" s="87"/>
      <c r="CH18" s="87"/>
      <c r="CI18" s="104"/>
      <c r="CJ18" s="87"/>
      <c r="CK18" s="87"/>
      <c r="CL18" s="87"/>
      <c r="CM18" s="87"/>
      <c r="CN18" s="87"/>
      <c r="CO18" s="104"/>
      <c r="CP18" s="105"/>
      <c r="CQ18" s="105"/>
      <c r="CR18" s="105"/>
      <c r="CS18" s="105"/>
      <c r="CT18" s="87"/>
      <c r="CU18" s="104"/>
      <c r="CV18" s="105"/>
      <c r="CW18" s="105"/>
      <c r="CX18" s="105"/>
      <c r="CY18" s="105"/>
      <c r="CZ18" s="87"/>
      <c r="DA18" s="104"/>
      <c r="DB18" s="105"/>
      <c r="DC18" s="105"/>
      <c r="DD18" s="105"/>
      <c r="DE18" s="105"/>
      <c r="DF18" s="87"/>
      <c r="DG18" s="104"/>
      <c r="DH18" s="105"/>
      <c r="DI18" s="105"/>
      <c r="DJ18" s="105"/>
      <c r="DK18" s="105"/>
      <c r="DL18" s="87"/>
      <c r="DM18" s="104"/>
      <c r="DN18" s="105"/>
      <c r="DO18" s="105"/>
      <c r="DP18" s="105"/>
      <c r="DQ18" s="105"/>
      <c r="DR18" s="87"/>
      <c r="DS18" s="130"/>
      <c r="DT18" s="108"/>
      <c r="DU18" s="108"/>
      <c r="DW18" s="109"/>
      <c r="DX18" s="110">
        <f t="shared" si="13"/>
        <v>0</v>
      </c>
      <c r="DY18" s="111">
        <f t="shared" ref="DY18:DZ18" si="85">sum(BS18,BY18,CE18,CK18,CQ18,CW18,DC18,DI18,DO18)</f>
        <v>1</v>
      </c>
      <c r="DZ18" s="111">
        <f t="shared" si="85"/>
        <v>0</v>
      </c>
      <c r="EA18" s="110">
        <f t="shared" si="15"/>
        <v>30</v>
      </c>
      <c r="EB18" s="99" t="str">
        <f t="shared" si="16"/>
        <v>20 - 34</v>
      </c>
      <c r="EC18" s="112"/>
      <c r="ED18" s="113">
        <f t="shared" si="17"/>
        <v>4.2</v>
      </c>
      <c r="EE18" s="114" t="str">
        <f>IF(V18 &lt;&gt; "", 1+((V18-MIN(discount_rates))*(4)/(MAX(discount_rates) - MIN(discount_rates))), "")</f>
        <v/>
      </c>
      <c r="EF18" s="114" t="str">
        <f>IF(Q18="Debt", (1+((S18-MIN(interest_rates))*(4)/(MAX(interest_rates) - MIN(interest_rates)))), "")</f>
        <v/>
      </c>
      <c r="EG18" s="114" t="str">
        <f>IF(OR(Q18="Revenue Share", Q18="Profit Share"), (1+((R18-MIN(return_mutiples))*(4)/(MAX(return_mutiples) - MIN(return_mutiples)))), "")</f>
        <v/>
      </c>
      <c r="EH18" s="115">
        <f t="shared" si="18"/>
        <v>4.2</v>
      </c>
      <c r="EI18" s="116" t="str">
        <f t="shared" si="19"/>
        <v>Equity - Common</v>
      </c>
      <c r="EJ18" s="117">
        <f t="shared" si="20"/>
        <v>0.3287671233</v>
      </c>
      <c r="EK18" s="116" t="str">
        <f t="shared" si="21"/>
        <v>Early</v>
      </c>
      <c r="EL18" s="112"/>
      <c r="EM18" s="118">
        <f t="shared" si="22"/>
        <v>1.3</v>
      </c>
      <c r="EN18" s="118">
        <f t="shared" si="23"/>
        <v>1.7</v>
      </c>
      <c r="EO18" s="119">
        <f t="shared" si="24"/>
        <v>3</v>
      </c>
      <c r="EP18" s="115">
        <f>1+((EO18-MIN(market_ratings_sums))*(4)/(MAX(market_ratings_sums) - MIN(market_ratings_sums)))</f>
        <v>1.210526316</v>
      </c>
      <c r="EQ18" s="116" t="str">
        <f t="shared" si="25"/>
        <v>Yes</v>
      </c>
      <c r="ER18" s="112"/>
      <c r="ES18" s="123">
        <f>1+((DX18-MIN(industry_experiences))*(4)/(MAX(industry_experiences) - MIN(industry_experiences)))</f>
        <v>1</v>
      </c>
      <c r="ET18" s="123">
        <f>1+((DY18-MIN(previous_startups))*(4)/(MAX(previous_startups) - MIN(previous_startups)))</f>
        <v>1.444444444</v>
      </c>
      <c r="EU18" s="123">
        <f>1+((DZ18-MIN(exits))*(4)/(MAX(exits) - MIN(exits)))</f>
        <v>1</v>
      </c>
      <c r="EV18" s="119">
        <f t="shared" si="26"/>
        <v>3.444444444</v>
      </c>
      <c r="EW18" s="124">
        <f>1+((EV18-MIN(team_ratings_sums))*(4)/(MAX(team_ratings_sums) - MIN(team_ratings_sums)))</f>
        <v>1.243478261</v>
      </c>
      <c r="EX18" s="116" t="str">
        <f t="shared" si="27"/>
        <v>20 - 34</v>
      </c>
      <c r="EY18" s="125">
        <f t="shared" si="28"/>
        <v>0.2054794521</v>
      </c>
      <c r="EZ18" s="116">
        <f t="shared" si="29"/>
        <v>1</v>
      </c>
      <c r="FA18" s="125">
        <f t="shared" si="30"/>
        <v>0.4383561644</v>
      </c>
      <c r="FB18" s="116">
        <f t="shared" si="31"/>
        <v>3</v>
      </c>
      <c r="FC18" s="125">
        <f t="shared" si="32"/>
        <v>0.08219178082</v>
      </c>
      <c r="FD18" s="116" t="str">
        <f t="shared" si="33"/>
        <v>No</v>
      </c>
      <c r="FE18" s="125">
        <f t="shared" si="34"/>
        <v>0.7534246575</v>
      </c>
      <c r="FF18" s="116" t="str">
        <f t="shared" ref="FF18:FH18" si="86">BJ18</f>
        <v>No</v>
      </c>
      <c r="FG18" s="116" t="str">
        <f t="shared" si="86"/>
        <v>No</v>
      </c>
      <c r="FH18" s="116" t="str">
        <f t="shared" si="86"/>
        <v>No</v>
      </c>
      <c r="FI18" s="112"/>
      <c r="FJ18" s="116" t="str">
        <f t="shared" si="36"/>
        <v>Transactional</v>
      </c>
      <c r="FK18" s="125">
        <f t="shared" si="37"/>
        <v>0.602739726</v>
      </c>
      <c r="FL18" s="116" t="str">
        <f t="shared" si="38"/>
        <v>B2C</v>
      </c>
      <c r="FM18" s="125">
        <f t="shared" si="39"/>
        <v>0.397260274</v>
      </c>
      <c r="FN18" s="116" t="str">
        <f t="shared" si="40"/>
        <v>Low</v>
      </c>
      <c r="FO18" s="125">
        <f t="shared" si="41"/>
        <v>0.4383561644</v>
      </c>
      <c r="FP18" s="116" t="str">
        <f t="shared" si="42"/>
        <v>High</v>
      </c>
      <c r="FQ18" s="125">
        <f t="shared" si="43"/>
        <v>0.6438356164</v>
      </c>
      <c r="FR18" s="112"/>
      <c r="FS18" s="123">
        <f t="shared" si="44"/>
        <v>5</v>
      </c>
      <c r="FT18" s="123">
        <f t="shared" si="45"/>
        <v>2.3</v>
      </c>
      <c r="FU18" s="123">
        <f t="shared" si="46"/>
        <v>1</v>
      </c>
      <c r="FV18" s="123">
        <f t="shared" si="47"/>
        <v>5</v>
      </c>
      <c r="FW18" s="119">
        <f t="shared" si="48"/>
        <v>13.3</v>
      </c>
      <c r="FX18" s="115">
        <f>1+((FW18-MIN(performance_ratings_sums))*(4)/(MAX(performance_ratings_sums) - MIN(performance_ratings_sums)))</f>
        <v>3.46728972</v>
      </c>
      <c r="FY18" s="116" t="str">
        <f t="shared" si="49"/>
        <v>Pre-Profit</v>
      </c>
      <c r="FZ18" s="126">
        <f t="shared" si="50"/>
        <v>0.4931506849</v>
      </c>
      <c r="GA18" s="112"/>
      <c r="GB18" s="127">
        <f t="shared" si="51"/>
        <v>3</v>
      </c>
      <c r="GC18" s="116" t="str">
        <f t="shared" si="52"/>
        <v>No</v>
      </c>
      <c r="GD18" s="126">
        <f t="shared" si="53"/>
        <v>0.7671232877</v>
      </c>
      <c r="GE18" s="126" t="str">
        <f t="shared" si="54"/>
        <v>Low</v>
      </c>
      <c r="GF18" s="126">
        <f t="shared" si="55"/>
        <v>0.5479452055</v>
      </c>
      <c r="GG18" s="126" t="str">
        <f t="shared" si="56"/>
        <v>High</v>
      </c>
      <c r="GH18" s="126">
        <f t="shared" si="57"/>
        <v>0.8082191781</v>
      </c>
      <c r="GI18" s="112"/>
      <c r="GJ18" s="116"/>
      <c r="GK18" s="119">
        <f t="shared" si="58"/>
        <v>13.1212943</v>
      </c>
      <c r="GL18" s="128">
        <f>1+((GK18-MIN(ratings_sums))*(4)/(MAX(ratings_sums) - MIN(ratings_sums)))</f>
        <v>2.818733716</v>
      </c>
    </row>
    <row r="19" ht="15.75" customHeight="1">
      <c r="A19" s="87" t="s">
        <v>427</v>
      </c>
      <c r="B19" s="135">
        <v>1805193.0</v>
      </c>
      <c r="C19" s="136" t="s">
        <v>627</v>
      </c>
      <c r="D19" s="147"/>
      <c r="E19" s="138" t="s">
        <v>381</v>
      </c>
      <c r="F19" s="139" t="s">
        <v>628</v>
      </c>
      <c r="G19" s="91" t="s">
        <v>629</v>
      </c>
      <c r="H19" s="140">
        <v>43909.0</v>
      </c>
      <c r="I19" s="136" t="s">
        <v>630</v>
      </c>
      <c r="J19" s="136" t="s">
        <v>627</v>
      </c>
      <c r="K19" s="138" t="s">
        <v>153</v>
      </c>
      <c r="L19" s="138" t="s">
        <v>390</v>
      </c>
      <c r="M19" s="138" t="s">
        <v>31</v>
      </c>
      <c r="N19" s="138" t="s">
        <v>32</v>
      </c>
      <c r="O19" s="138" t="s">
        <v>35</v>
      </c>
      <c r="P19" s="90"/>
      <c r="Q19" s="138" t="s">
        <v>121</v>
      </c>
      <c r="R19" s="93"/>
      <c r="S19" s="94"/>
      <c r="T19" s="17">
        <v>5490000.0</v>
      </c>
      <c r="U19" s="95"/>
      <c r="V19" s="129"/>
      <c r="W19" s="96" t="str">
        <f t="shared" si="3"/>
        <v/>
      </c>
      <c r="X19" s="98">
        <f t="shared" si="4"/>
        <v>5490000</v>
      </c>
      <c r="Y19" s="99" t="str">
        <f t="shared" si="5"/>
        <v>$4M - $6M</v>
      </c>
      <c r="Z19" s="138" t="s">
        <v>36</v>
      </c>
      <c r="AA19" s="138" t="s">
        <v>87</v>
      </c>
      <c r="AB19" s="138" t="s">
        <v>38</v>
      </c>
      <c r="AC19" s="138" t="s">
        <v>469</v>
      </c>
      <c r="AD19" s="138" t="s">
        <v>89</v>
      </c>
      <c r="AE19" s="143" t="s">
        <v>39</v>
      </c>
      <c r="AF19" s="138" t="s">
        <v>469</v>
      </c>
      <c r="AG19" s="144">
        <v>2.5E10</v>
      </c>
      <c r="AH19" s="97" t="str">
        <f t="shared" si="6"/>
        <v>$25B-$50B</v>
      </c>
      <c r="AI19" s="17">
        <v>3.6E9</v>
      </c>
      <c r="AJ19" s="97" t="str">
        <f t="shared" si="7"/>
        <v>$1B-$5B</v>
      </c>
      <c r="AK19" s="145">
        <v>0.065</v>
      </c>
      <c r="AL19" s="88" t="str">
        <f t="shared" si="8"/>
        <v>0%-10%</v>
      </c>
      <c r="AM19" s="135">
        <v>25.0</v>
      </c>
      <c r="AN19" s="138" t="s">
        <v>89</v>
      </c>
      <c r="AO19" s="138" t="s">
        <v>89</v>
      </c>
      <c r="AP19" s="138" t="s">
        <v>40</v>
      </c>
      <c r="AQ19" s="136" t="s">
        <v>89</v>
      </c>
      <c r="AR19" s="136" t="s">
        <v>89</v>
      </c>
      <c r="AS19" s="138" t="s">
        <v>469</v>
      </c>
      <c r="AT19" s="138" t="s">
        <v>469</v>
      </c>
      <c r="AU19" s="138" t="s">
        <v>493</v>
      </c>
      <c r="AV19" s="138" t="s">
        <v>493</v>
      </c>
      <c r="AW19" s="17">
        <v>492684.0</v>
      </c>
      <c r="AX19" s="96" t="str">
        <f t="shared" si="9"/>
        <v>$100K - $500K</v>
      </c>
      <c r="AY19" s="17">
        <v>2491.0</v>
      </c>
      <c r="AZ19" s="144">
        <v>0.0</v>
      </c>
      <c r="BA19" s="103" t="str">
        <f t="shared" si="10"/>
        <v>&lt; $10K</v>
      </c>
      <c r="BB19" s="103">
        <f t="shared" si="11"/>
        <v>1</v>
      </c>
      <c r="BC19" s="103" t="str">
        <f t="shared" si="12"/>
        <v>90% - 100%</v>
      </c>
      <c r="BD19" s="138" t="s">
        <v>107</v>
      </c>
      <c r="BE19" s="90"/>
      <c r="BF19" s="138" t="s">
        <v>469</v>
      </c>
      <c r="BG19" s="135">
        <v>0.0</v>
      </c>
      <c r="BH19" s="135">
        <v>1.0</v>
      </c>
      <c r="BI19" s="138" t="s">
        <v>469</v>
      </c>
      <c r="BJ19" s="138" t="s">
        <v>469</v>
      </c>
      <c r="BK19" s="138" t="s">
        <v>469</v>
      </c>
      <c r="BL19" s="138" t="s">
        <v>469</v>
      </c>
      <c r="BM19" s="135">
        <v>1.0</v>
      </c>
      <c r="BN19" s="135">
        <v>2.0</v>
      </c>
      <c r="BO19" s="135">
        <v>0.0</v>
      </c>
      <c r="BP19" s="135">
        <v>0.0</v>
      </c>
      <c r="BQ19" s="104"/>
      <c r="BR19" s="146">
        <v>0.0</v>
      </c>
      <c r="BS19" s="146">
        <v>1.0</v>
      </c>
      <c r="BT19" s="146">
        <v>0.0</v>
      </c>
      <c r="BU19" s="146">
        <v>29.0</v>
      </c>
      <c r="BV19" s="136" t="s">
        <v>469</v>
      </c>
      <c r="BW19" s="104"/>
      <c r="BX19" s="90"/>
      <c r="BY19" s="90"/>
      <c r="BZ19" s="90"/>
      <c r="CA19" s="90"/>
      <c r="CB19" s="90"/>
      <c r="CC19" s="104"/>
      <c r="CD19" s="90"/>
      <c r="CE19" s="90"/>
      <c r="CF19" s="90"/>
      <c r="CG19" s="90"/>
      <c r="CH19" s="90"/>
      <c r="CI19" s="104"/>
      <c r="CJ19" s="90"/>
      <c r="CK19" s="90"/>
      <c r="CL19" s="90"/>
      <c r="CM19" s="90"/>
      <c r="CN19" s="90"/>
      <c r="CO19" s="104"/>
      <c r="CP19" s="87"/>
      <c r="CQ19" s="87"/>
      <c r="CR19" s="87"/>
      <c r="CS19" s="87"/>
      <c r="CT19" s="87"/>
      <c r="CU19" s="104"/>
      <c r="CV19" s="87"/>
      <c r="CW19" s="87"/>
      <c r="CX19" s="87"/>
      <c r="CY19" s="87"/>
      <c r="CZ19" s="87"/>
      <c r="DA19" s="104"/>
      <c r="DB19" s="87"/>
      <c r="DC19" s="87"/>
      <c r="DD19" s="87"/>
      <c r="DE19" s="87"/>
      <c r="DF19" s="87"/>
      <c r="DG19" s="104"/>
      <c r="DH19" s="87"/>
      <c r="DI19" s="87"/>
      <c r="DJ19" s="87"/>
      <c r="DK19" s="87"/>
      <c r="DL19" s="87"/>
      <c r="DM19" s="104"/>
      <c r="DN19" s="87"/>
      <c r="DO19" s="87"/>
      <c r="DP19" s="87"/>
      <c r="DQ19" s="87"/>
      <c r="DR19" s="87"/>
      <c r="DS19" s="130"/>
      <c r="DT19" s="108"/>
      <c r="DU19" s="108"/>
      <c r="DW19" s="109"/>
      <c r="DX19" s="110">
        <f t="shared" si="13"/>
        <v>0</v>
      </c>
      <c r="DY19" s="111">
        <f t="shared" ref="DY19:DZ19" si="87">sum(BS19,BY19,CE19,CK19,CQ19,CW19,DC19,DI19,DO19)</f>
        <v>1</v>
      </c>
      <c r="DZ19" s="111">
        <f t="shared" si="87"/>
        <v>0</v>
      </c>
      <c r="EA19" s="110">
        <f t="shared" si="15"/>
        <v>29</v>
      </c>
      <c r="EB19" s="99" t="str">
        <f t="shared" si="16"/>
        <v>20 - 34</v>
      </c>
      <c r="EC19" s="112"/>
      <c r="ED19" s="113">
        <f t="shared" si="17"/>
        <v>4.4</v>
      </c>
      <c r="EE19" s="114" t="str">
        <f>IF(V19 &lt;&gt; "", 1+((V19-MIN(discount_rates))*(4)/(MAX(discount_rates) - MIN(discount_rates))), "")</f>
        <v/>
      </c>
      <c r="EF19" s="114" t="str">
        <f>IF(Q19="Debt", (1+((S19-MIN(interest_rates))*(4)/(MAX(interest_rates) - MIN(interest_rates)))), "")</f>
        <v/>
      </c>
      <c r="EG19" s="114" t="str">
        <f>IF(OR(Q19="Revenue Share", Q19="Profit Share"), (1+((R19-MIN(return_mutiples))*(4)/(MAX(return_mutiples) - MIN(return_mutiples)))), "")</f>
        <v/>
      </c>
      <c r="EH19" s="115">
        <f t="shared" si="18"/>
        <v>4.4</v>
      </c>
      <c r="EI19" s="116" t="str">
        <f t="shared" si="19"/>
        <v>Equity - Common</v>
      </c>
      <c r="EJ19" s="117">
        <f t="shared" si="20"/>
        <v>0.3287671233</v>
      </c>
      <c r="EK19" s="116" t="str">
        <f t="shared" si="21"/>
        <v>Early</v>
      </c>
      <c r="EL19" s="112"/>
      <c r="EM19" s="118">
        <f t="shared" si="22"/>
        <v>2.7</v>
      </c>
      <c r="EN19" s="118">
        <f t="shared" si="23"/>
        <v>1.7</v>
      </c>
      <c r="EO19" s="119">
        <f t="shared" si="24"/>
        <v>4.4</v>
      </c>
      <c r="EP19" s="115">
        <f>1+((EO19-MIN(market_ratings_sums))*(4)/(MAX(market_ratings_sums) - MIN(market_ratings_sums)))</f>
        <v>2.192982456</v>
      </c>
      <c r="EQ19" s="116" t="str">
        <f t="shared" si="25"/>
        <v>No</v>
      </c>
      <c r="ER19" s="112"/>
      <c r="ES19" s="123">
        <f>1+((DX19-MIN(industry_experiences))*(4)/(MAX(industry_experiences) - MIN(industry_experiences)))</f>
        <v>1</v>
      </c>
      <c r="ET19" s="123">
        <f>1+((DY19-MIN(previous_startups))*(4)/(MAX(previous_startups) - MIN(previous_startups)))</f>
        <v>1.444444444</v>
      </c>
      <c r="EU19" s="123">
        <f>1+((DZ19-MIN(exits))*(4)/(MAX(exits) - MIN(exits)))</f>
        <v>1</v>
      </c>
      <c r="EV19" s="119">
        <f t="shared" si="26"/>
        <v>3.444444444</v>
      </c>
      <c r="EW19" s="124">
        <f>1+((EV19-MIN(team_ratings_sums))*(4)/(MAX(team_ratings_sums) - MIN(team_ratings_sums)))</f>
        <v>1.243478261</v>
      </c>
      <c r="EX19" s="116" t="str">
        <f t="shared" si="27"/>
        <v>20 - 34</v>
      </c>
      <c r="EY19" s="125">
        <f t="shared" si="28"/>
        <v>0.2054794521</v>
      </c>
      <c r="EZ19" s="116">
        <f t="shared" si="29"/>
        <v>1</v>
      </c>
      <c r="FA19" s="125">
        <f t="shared" si="30"/>
        <v>0.4383561644</v>
      </c>
      <c r="FB19" s="116">
        <f t="shared" si="31"/>
        <v>2</v>
      </c>
      <c r="FC19" s="125">
        <f t="shared" si="32"/>
        <v>0.1369863014</v>
      </c>
      <c r="FD19" s="116" t="str">
        <f t="shared" si="33"/>
        <v>No</v>
      </c>
      <c r="FE19" s="125">
        <f t="shared" si="34"/>
        <v>0.7534246575</v>
      </c>
      <c r="FF19" s="116" t="str">
        <f t="shared" ref="FF19:FH19" si="88">BJ19</f>
        <v>No</v>
      </c>
      <c r="FG19" s="116" t="str">
        <f t="shared" si="88"/>
        <v>No</v>
      </c>
      <c r="FH19" s="116" t="str">
        <f t="shared" si="88"/>
        <v>No</v>
      </c>
      <c r="FI19" s="112"/>
      <c r="FJ19" s="116" t="str">
        <f t="shared" si="36"/>
        <v>Transactional</v>
      </c>
      <c r="FK19" s="125">
        <f t="shared" si="37"/>
        <v>0.602739726</v>
      </c>
      <c r="FL19" s="116" t="str">
        <f t="shared" si="38"/>
        <v>B2C</v>
      </c>
      <c r="FM19" s="125">
        <f t="shared" si="39"/>
        <v>0.397260274</v>
      </c>
      <c r="FN19" s="116" t="str">
        <f t="shared" si="40"/>
        <v>Low</v>
      </c>
      <c r="FO19" s="125">
        <f t="shared" si="41"/>
        <v>0.4383561644</v>
      </c>
      <c r="FP19" s="116" t="str">
        <f t="shared" si="42"/>
        <v>High</v>
      </c>
      <c r="FQ19" s="125">
        <f t="shared" si="43"/>
        <v>0.6438356164</v>
      </c>
      <c r="FR19" s="112"/>
      <c r="FS19" s="123">
        <f t="shared" si="44"/>
        <v>5</v>
      </c>
      <c r="FT19" s="123">
        <f t="shared" si="45"/>
        <v>2.3</v>
      </c>
      <c r="FU19" s="123">
        <f t="shared" si="46"/>
        <v>1</v>
      </c>
      <c r="FV19" s="123">
        <f t="shared" si="47"/>
        <v>5</v>
      </c>
      <c r="FW19" s="119">
        <f t="shared" si="48"/>
        <v>13.3</v>
      </c>
      <c r="FX19" s="115">
        <f>1+((FW19-MIN(performance_ratings_sums))*(4)/(MAX(performance_ratings_sums) - MIN(performance_ratings_sums)))</f>
        <v>3.46728972</v>
      </c>
      <c r="FY19" s="116" t="str">
        <f t="shared" si="49"/>
        <v>Pre-Profit</v>
      </c>
      <c r="FZ19" s="126">
        <f t="shared" si="50"/>
        <v>0.4931506849</v>
      </c>
      <c r="GA19" s="112"/>
      <c r="GB19" s="127">
        <f t="shared" si="51"/>
        <v>1</v>
      </c>
      <c r="GC19" s="116" t="str">
        <f t="shared" si="52"/>
        <v>No</v>
      </c>
      <c r="GD19" s="126">
        <f t="shared" si="53"/>
        <v>0.7671232877</v>
      </c>
      <c r="GE19" s="126" t="str">
        <f t="shared" si="54"/>
        <v>Low</v>
      </c>
      <c r="GF19" s="126">
        <f t="shared" si="55"/>
        <v>0.5479452055</v>
      </c>
      <c r="GG19" s="126" t="str">
        <f t="shared" si="56"/>
        <v>Low</v>
      </c>
      <c r="GH19" s="126">
        <f t="shared" si="57"/>
        <v>0.1917808219</v>
      </c>
      <c r="GI19" s="112"/>
      <c r="GJ19" s="116"/>
      <c r="GK19" s="119">
        <f t="shared" si="58"/>
        <v>12.30375044</v>
      </c>
      <c r="GL19" s="128">
        <f>1+((GK19-MIN(ratings_sums))*(4)/(MAX(ratings_sums) - MIN(ratings_sums)))</f>
        <v>2.567878584</v>
      </c>
    </row>
    <row r="20" ht="15.75" customHeight="1">
      <c r="A20" s="87" t="s">
        <v>427</v>
      </c>
      <c r="B20" s="135">
        <v>1776308.0</v>
      </c>
      <c r="C20" s="136" t="s">
        <v>631</v>
      </c>
      <c r="D20" s="148">
        <v>43879.51388888889</v>
      </c>
      <c r="E20" s="138" t="s">
        <v>392</v>
      </c>
      <c r="F20" s="139" t="s">
        <v>632</v>
      </c>
      <c r="G20" s="91" t="s">
        <v>633</v>
      </c>
      <c r="H20" s="140">
        <v>43866.0</v>
      </c>
      <c r="I20" s="136" t="s">
        <v>634</v>
      </c>
      <c r="J20" s="136" t="s">
        <v>631</v>
      </c>
      <c r="K20" s="138" t="s">
        <v>415</v>
      </c>
      <c r="L20" s="138" t="s">
        <v>355</v>
      </c>
      <c r="M20" s="138" t="s">
        <v>31</v>
      </c>
      <c r="N20" s="138" t="s">
        <v>32</v>
      </c>
      <c r="O20" s="138" t="s">
        <v>35</v>
      </c>
      <c r="P20" s="90"/>
      <c r="Q20" s="138" t="s">
        <v>195</v>
      </c>
      <c r="R20" s="93"/>
      <c r="S20" s="94"/>
      <c r="T20" s="95"/>
      <c r="U20" s="17">
        <v>6250000.0</v>
      </c>
      <c r="V20" s="142">
        <v>0.2</v>
      </c>
      <c r="W20" s="96">
        <f t="shared" si="3"/>
        <v>5000000</v>
      </c>
      <c r="X20" s="98">
        <f t="shared" si="4"/>
        <v>5000000</v>
      </c>
      <c r="Y20" s="99" t="str">
        <f t="shared" si="5"/>
        <v>$4M - $6M</v>
      </c>
      <c r="Z20" s="138" t="s">
        <v>86</v>
      </c>
      <c r="AA20" s="138" t="s">
        <v>37</v>
      </c>
      <c r="AB20" s="143" t="s">
        <v>88</v>
      </c>
      <c r="AC20" s="138" t="s">
        <v>493</v>
      </c>
      <c r="AD20" s="143" t="s">
        <v>39</v>
      </c>
      <c r="AE20" s="138" t="s">
        <v>89</v>
      </c>
      <c r="AF20" s="138" t="s">
        <v>469</v>
      </c>
      <c r="AG20" s="144">
        <v>4.6E10</v>
      </c>
      <c r="AH20" s="97" t="str">
        <f t="shared" si="6"/>
        <v>$25B-$50B</v>
      </c>
      <c r="AI20" s="17">
        <v>1.7E10</v>
      </c>
      <c r="AJ20" s="97" t="str">
        <f t="shared" si="7"/>
        <v>$10B-$25B</v>
      </c>
      <c r="AK20" s="145">
        <v>0.14</v>
      </c>
      <c r="AL20" s="88" t="str">
        <f t="shared" si="8"/>
        <v>10%-20%</v>
      </c>
      <c r="AM20" s="135">
        <v>6.0</v>
      </c>
      <c r="AN20" s="143" t="s">
        <v>39</v>
      </c>
      <c r="AO20" s="138" t="s">
        <v>89</v>
      </c>
      <c r="AP20" s="138" t="s">
        <v>40</v>
      </c>
      <c r="AQ20" s="136" t="s">
        <v>89</v>
      </c>
      <c r="AR20" s="143" t="s">
        <v>39</v>
      </c>
      <c r="AS20" s="138" t="s">
        <v>469</v>
      </c>
      <c r="AT20" s="138" t="s">
        <v>469</v>
      </c>
      <c r="AU20" s="138" t="s">
        <v>493</v>
      </c>
      <c r="AV20" s="138" t="s">
        <v>493</v>
      </c>
      <c r="AW20" s="17">
        <v>52525.0</v>
      </c>
      <c r="AX20" s="96" t="str">
        <f t="shared" si="9"/>
        <v>$50K - $100K</v>
      </c>
      <c r="AY20" s="17">
        <v>944.0</v>
      </c>
      <c r="AZ20" s="144">
        <v>513950.0</v>
      </c>
      <c r="BA20" s="103" t="str">
        <f t="shared" si="10"/>
        <v>$500K - $1M</v>
      </c>
      <c r="BB20" s="103">
        <f t="shared" si="11"/>
        <v>0.001836754548</v>
      </c>
      <c r="BC20" s="103" t="str">
        <f t="shared" si="12"/>
        <v>&lt; 10%</v>
      </c>
      <c r="BD20" s="138" t="s">
        <v>107</v>
      </c>
      <c r="BE20" s="90"/>
      <c r="BF20" s="138" t="s">
        <v>469</v>
      </c>
      <c r="BG20" s="135">
        <v>0.0</v>
      </c>
      <c r="BH20" s="135">
        <v>1.0</v>
      </c>
      <c r="BI20" s="138" t="s">
        <v>469</v>
      </c>
      <c r="BJ20" s="138" t="s">
        <v>493</v>
      </c>
      <c r="BK20" s="138" t="s">
        <v>469</v>
      </c>
      <c r="BL20" s="138" t="s">
        <v>469</v>
      </c>
      <c r="BM20" s="135">
        <v>2.0</v>
      </c>
      <c r="BN20" s="135">
        <v>13.0</v>
      </c>
      <c r="BO20" s="135">
        <v>3.0</v>
      </c>
      <c r="BP20" s="135">
        <v>0.0</v>
      </c>
      <c r="BQ20" s="104"/>
      <c r="BR20" s="146">
        <v>0.0</v>
      </c>
      <c r="BS20" s="146">
        <v>1.0</v>
      </c>
      <c r="BT20" s="146">
        <v>0.0</v>
      </c>
      <c r="BU20" s="146">
        <v>45.0</v>
      </c>
      <c r="BV20" s="136" t="s">
        <v>493</v>
      </c>
      <c r="BW20" s="104"/>
      <c r="BX20" s="87"/>
      <c r="BY20" s="87"/>
      <c r="BZ20" s="87"/>
      <c r="CA20" s="87"/>
      <c r="CB20" s="87"/>
      <c r="CC20" s="104"/>
      <c r="CD20" s="87"/>
      <c r="CE20" s="87"/>
      <c r="CF20" s="87"/>
      <c r="CG20" s="87"/>
      <c r="CH20" s="87"/>
      <c r="CI20" s="104"/>
      <c r="CJ20" s="87"/>
      <c r="CK20" s="87"/>
      <c r="CL20" s="87"/>
      <c r="CM20" s="87"/>
      <c r="CN20" s="87"/>
      <c r="CO20" s="104"/>
      <c r="CP20" s="90"/>
      <c r="CQ20" s="90"/>
      <c r="CR20" s="90"/>
      <c r="CS20" s="90"/>
      <c r="CT20" s="90"/>
      <c r="CU20" s="104"/>
      <c r="CV20" s="90"/>
      <c r="CW20" s="90"/>
      <c r="CX20" s="90"/>
      <c r="CY20" s="90"/>
      <c r="CZ20" s="90"/>
      <c r="DA20" s="104"/>
      <c r="DB20" s="90"/>
      <c r="DC20" s="90"/>
      <c r="DD20" s="90"/>
      <c r="DE20" s="90"/>
      <c r="DF20" s="90"/>
      <c r="DG20" s="104"/>
      <c r="DH20" s="90"/>
      <c r="DI20" s="90"/>
      <c r="DJ20" s="90"/>
      <c r="DK20" s="90"/>
      <c r="DL20" s="90"/>
      <c r="DM20" s="104"/>
      <c r="DN20" s="90"/>
      <c r="DO20" s="90"/>
      <c r="DP20" s="90"/>
      <c r="DQ20" s="90"/>
      <c r="DR20" s="90"/>
      <c r="DS20" s="130"/>
      <c r="DT20" s="108"/>
      <c r="DU20" s="108"/>
      <c r="DW20" s="109"/>
      <c r="DX20" s="110">
        <f t="shared" si="13"/>
        <v>0</v>
      </c>
      <c r="DY20" s="111">
        <f t="shared" ref="DY20:DZ20" si="89">sum(BS20,BY20,CE20,CK20,CQ20,CW20,DC20,DI20,DO20)</f>
        <v>1</v>
      </c>
      <c r="DZ20" s="111">
        <f t="shared" si="89"/>
        <v>0</v>
      </c>
      <c r="EA20" s="110">
        <f t="shared" si="15"/>
        <v>45</v>
      </c>
      <c r="EB20" s="99" t="str">
        <f t="shared" si="16"/>
        <v>35 - 54</v>
      </c>
      <c r="EC20" s="112"/>
      <c r="ED20" s="113">
        <f t="shared" si="17"/>
        <v>4.4</v>
      </c>
      <c r="EE20" s="114">
        <f>IF(V20 &lt;&gt; "", 1+((V20-MIN(discount_rates))*(4)/(MAX(discount_rates) - MIN(discount_rates))), "")</f>
        <v>3.105263158</v>
      </c>
      <c r="EF20" s="114" t="str">
        <f>IF(Q20="Debt", (1+((S20-MIN(interest_rates))*(4)/(MAX(interest_rates) - MIN(interest_rates)))), "")</f>
        <v/>
      </c>
      <c r="EG20" s="114" t="str">
        <f>IF(OR(Q20="Revenue Share", Q20="Profit Share"), (1+((R20-MIN(return_mutiples))*(4)/(MAX(return_mutiples) - MIN(return_mutiples)))), "")</f>
        <v/>
      </c>
      <c r="EH20" s="115">
        <f t="shared" si="18"/>
        <v>4.4</v>
      </c>
      <c r="EI20" s="116" t="str">
        <f t="shared" si="19"/>
        <v>SAFE</v>
      </c>
      <c r="EJ20" s="117">
        <f t="shared" si="20"/>
        <v>0.3561643836</v>
      </c>
      <c r="EK20" s="116" t="str">
        <f t="shared" si="21"/>
        <v>Early</v>
      </c>
      <c r="EL20" s="112"/>
      <c r="EM20" s="118">
        <f t="shared" si="22"/>
        <v>3.3</v>
      </c>
      <c r="EN20" s="118">
        <f t="shared" si="23"/>
        <v>2.3</v>
      </c>
      <c r="EO20" s="119">
        <f t="shared" si="24"/>
        <v>5.6</v>
      </c>
      <c r="EP20" s="115">
        <f>1+((EO20-MIN(market_ratings_sums))*(4)/(MAX(market_ratings_sums) - MIN(market_ratings_sums)))</f>
        <v>3.035087719</v>
      </c>
      <c r="EQ20" s="116" t="str">
        <f t="shared" si="25"/>
        <v>No</v>
      </c>
      <c r="ER20" s="112"/>
      <c r="ES20" s="123">
        <f>1+((DX20-MIN(industry_experiences))*(4)/(MAX(industry_experiences) - MIN(industry_experiences)))</f>
        <v>1</v>
      </c>
      <c r="ET20" s="123">
        <f>1+((DY20-MIN(previous_startups))*(4)/(MAX(previous_startups) - MIN(previous_startups)))</f>
        <v>1.444444444</v>
      </c>
      <c r="EU20" s="123">
        <f>1+((DZ20-MIN(exits))*(4)/(MAX(exits) - MIN(exits)))</f>
        <v>1</v>
      </c>
      <c r="EV20" s="119">
        <f t="shared" si="26"/>
        <v>3.444444444</v>
      </c>
      <c r="EW20" s="124">
        <f>1+((EV20-MIN(team_ratings_sums))*(4)/(MAX(team_ratings_sums) - MIN(team_ratings_sums)))</f>
        <v>1.243478261</v>
      </c>
      <c r="EX20" s="116" t="str">
        <f t="shared" si="27"/>
        <v>35 - 54</v>
      </c>
      <c r="EY20" s="125">
        <f t="shared" si="28"/>
        <v>0.6849315068</v>
      </c>
      <c r="EZ20" s="116">
        <f t="shared" si="29"/>
        <v>1</v>
      </c>
      <c r="FA20" s="125">
        <f t="shared" si="30"/>
        <v>0.4383561644</v>
      </c>
      <c r="FB20" s="116">
        <f t="shared" si="31"/>
        <v>13</v>
      </c>
      <c r="FC20" s="125">
        <f t="shared" si="32"/>
        <v>0.02739726027</v>
      </c>
      <c r="FD20" s="116" t="str">
        <f t="shared" si="33"/>
        <v>No</v>
      </c>
      <c r="FE20" s="125">
        <f t="shared" si="34"/>
        <v>0.7534246575</v>
      </c>
      <c r="FF20" s="116" t="str">
        <f t="shared" ref="FF20:FH20" si="90">BJ20</f>
        <v>Yes</v>
      </c>
      <c r="FG20" s="116" t="str">
        <f t="shared" si="90"/>
        <v>No</v>
      </c>
      <c r="FH20" s="116" t="str">
        <f t="shared" si="90"/>
        <v>No</v>
      </c>
      <c r="FI20" s="112"/>
      <c r="FJ20" s="116" t="str">
        <f t="shared" si="36"/>
        <v>Recurring</v>
      </c>
      <c r="FK20" s="125">
        <f t="shared" si="37"/>
        <v>0.397260274</v>
      </c>
      <c r="FL20" s="116" t="str">
        <f t="shared" si="38"/>
        <v>B2B</v>
      </c>
      <c r="FM20" s="125">
        <f t="shared" si="39"/>
        <v>0.2465753425</v>
      </c>
      <c r="FN20" s="116" t="str">
        <f t="shared" si="40"/>
        <v>High</v>
      </c>
      <c r="FO20" s="125">
        <f t="shared" si="41"/>
        <v>0.5616438356</v>
      </c>
      <c r="FP20" s="116" t="str">
        <f t="shared" si="42"/>
        <v>Low</v>
      </c>
      <c r="FQ20" s="125">
        <f t="shared" si="43"/>
        <v>0.3561643836</v>
      </c>
      <c r="FR20" s="112"/>
      <c r="FS20" s="123">
        <f t="shared" si="44"/>
        <v>5</v>
      </c>
      <c r="FT20" s="123">
        <f t="shared" si="45"/>
        <v>1.9</v>
      </c>
      <c r="FU20" s="123">
        <f t="shared" si="46"/>
        <v>5</v>
      </c>
      <c r="FV20" s="123">
        <f t="shared" si="47"/>
        <v>3.2</v>
      </c>
      <c r="FW20" s="119">
        <f t="shared" si="48"/>
        <v>15.1</v>
      </c>
      <c r="FX20" s="115">
        <f>1+((FW20-MIN(performance_ratings_sums))*(4)/(MAX(performance_ratings_sums) - MIN(performance_ratings_sums)))</f>
        <v>4.140186916</v>
      </c>
      <c r="FY20" s="116" t="str">
        <f t="shared" si="49"/>
        <v>Pre-Profit</v>
      </c>
      <c r="FZ20" s="126">
        <f t="shared" si="50"/>
        <v>0.4931506849</v>
      </c>
      <c r="GA20" s="112"/>
      <c r="GB20" s="127">
        <f t="shared" si="51"/>
        <v>3</v>
      </c>
      <c r="GC20" s="116" t="str">
        <f t="shared" si="52"/>
        <v>No</v>
      </c>
      <c r="GD20" s="126">
        <f t="shared" si="53"/>
        <v>0.7671232877</v>
      </c>
      <c r="GE20" s="126" t="str">
        <f t="shared" si="54"/>
        <v>Low</v>
      </c>
      <c r="GF20" s="126">
        <f t="shared" si="55"/>
        <v>0.5479452055</v>
      </c>
      <c r="GG20" s="126" t="str">
        <f t="shared" si="56"/>
        <v>High</v>
      </c>
      <c r="GH20" s="126">
        <f t="shared" si="57"/>
        <v>0.8082191781</v>
      </c>
      <c r="GI20" s="112"/>
      <c r="GJ20" s="116"/>
      <c r="GK20" s="119">
        <f t="shared" si="58"/>
        <v>15.8187529</v>
      </c>
      <c r="GL20" s="128">
        <f>1+((GK20-MIN(ratings_sums))*(4)/(MAX(ratings_sums) - MIN(ratings_sums)))</f>
        <v>3.646421825</v>
      </c>
    </row>
    <row r="21" ht="15.75" customHeight="1">
      <c r="A21" s="87" t="s">
        <v>427</v>
      </c>
      <c r="B21" s="135">
        <v>1799584.0</v>
      </c>
      <c r="C21" s="136" t="s">
        <v>635</v>
      </c>
      <c r="D21" s="148">
        <v>43880.46041666667</v>
      </c>
      <c r="E21" s="138" t="s">
        <v>369</v>
      </c>
      <c r="F21" s="139" t="s">
        <v>636</v>
      </c>
      <c r="G21" s="91" t="s">
        <v>637</v>
      </c>
      <c r="H21" s="140">
        <v>43875.0</v>
      </c>
      <c r="I21" s="136" t="s">
        <v>638</v>
      </c>
      <c r="J21" s="136" t="s">
        <v>635</v>
      </c>
      <c r="K21" s="138" t="s">
        <v>153</v>
      </c>
      <c r="L21" s="138" t="s">
        <v>390</v>
      </c>
      <c r="M21" s="138" t="s">
        <v>31</v>
      </c>
      <c r="N21" s="138" t="s">
        <v>32</v>
      </c>
      <c r="O21" s="138" t="s">
        <v>35</v>
      </c>
      <c r="P21" s="90"/>
      <c r="Q21" s="138" t="s">
        <v>195</v>
      </c>
      <c r="R21" s="93"/>
      <c r="S21" s="94"/>
      <c r="T21" s="95"/>
      <c r="U21" s="17">
        <v>8000000.0</v>
      </c>
      <c r="V21" s="142">
        <v>0.1</v>
      </c>
      <c r="W21" s="96">
        <f t="shared" si="3"/>
        <v>7200000</v>
      </c>
      <c r="X21" s="98">
        <f t="shared" si="4"/>
        <v>7200000</v>
      </c>
      <c r="Y21" s="99" t="str">
        <f t="shared" si="5"/>
        <v>$6M - $8M</v>
      </c>
      <c r="Z21" s="138" t="s">
        <v>86</v>
      </c>
      <c r="AA21" s="138" t="s">
        <v>87</v>
      </c>
      <c r="AB21" s="138" t="s">
        <v>38</v>
      </c>
      <c r="AC21" s="138" t="s">
        <v>493</v>
      </c>
      <c r="AD21" s="143" t="s">
        <v>39</v>
      </c>
      <c r="AE21" s="143" t="s">
        <v>39</v>
      </c>
      <c r="AF21" s="138" t="s">
        <v>469</v>
      </c>
      <c r="AG21" s="144">
        <v>3.6E11</v>
      </c>
      <c r="AH21" s="97" t="str">
        <f t="shared" si="6"/>
        <v>$250B-$500B</v>
      </c>
      <c r="AI21" s="17">
        <v>3.7E10</v>
      </c>
      <c r="AJ21" s="97" t="str">
        <f t="shared" si="7"/>
        <v>$25B-$50B</v>
      </c>
      <c r="AK21" s="145">
        <v>0.092</v>
      </c>
      <c r="AL21" s="88" t="str">
        <f t="shared" si="8"/>
        <v>0%-10%</v>
      </c>
      <c r="AM21" s="135">
        <v>15.0</v>
      </c>
      <c r="AN21" s="143" t="s">
        <v>39</v>
      </c>
      <c r="AO21" s="138" t="s">
        <v>89</v>
      </c>
      <c r="AP21" s="138" t="s">
        <v>40</v>
      </c>
      <c r="AQ21" s="136" t="s">
        <v>89</v>
      </c>
      <c r="AR21" s="143" t="s">
        <v>39</v>
      </c>
      <c r="AS21" s="138" t="s">
        <v>493</v>
      </c>
      <c r="AT21" s="138" t="s">
        <v>469</v>
      </c>
      <c r="AU21" s="138" t="s">
        <v>493</v>
      </c>
      <c r="AV21" s="138" t="s">
        <v>493</v>
      </c>
      <c r="AW21" s="17">
        <v>56258.0</v>
      </c>
      <c r="AX21" s="96" t="str">
        <f t="shared" si="9"/>
        <v>$50K - $100K</v>
      </c>
      <c r="AY21" s="17">
        <v>5555.0</v>
      </c>
      <c r="AZ21" s="144">
        <v>200000.0</v>
      </c>
      <c r="BA21" s="103" t="str">
        <f t="shared" si="10"/>
        <v>$100K - $500K</v>
      </c>
      <c r="BB21" s="103">
        <f t="shared" si="11"/>
        <v>0.027775</v>
      </c>
      <c r="BC21" s="103" t="str">
        <f t="shared" si="12"/>
        <v>&lt; 10%</v>
      </c>
      <c r="BD21" s="138" t="s">
        <v>107</v>
      </c>
      <c r="BE21" s="90"/>
      <c r="BF21" s="138" t="s">
        <v>493</v>
      </c>
      <c r="BG21" s="135">
        <v>0.0</v>
      </c>
      <c r="BH21" s="135">
        <v>2.0</v>
      </c>
      <c r="BI21" s="138" t="s">
        <v>493</v>
      </c>
      <c r="BJ21" s="138" t="s">
        <v>493</v>
      </c>
      <c r="BK21" s="138" t="s">
        <v>469</v>
      </c>
      <c r="BL21" s="138" t="s">
        <v>469</v>
      </c>
      <c r="BM21" s="135">
        <v>3.0</v>
      </c>
      <c r="BN21" s="135">
        <v>3.0</v>
      </c>
      <c r="BO21" s="135">
        <v>0.0</v>
      </c>
      <c r="BP21" s="135">
        <v>0.0</v>
      </c>
      <c r="BQ21" s="104"/>
      <c r="BR21" s="146">
        <v>15.0</v>
      </c>
      <c r="BS21" s="146">
        <v>0.0</v>
      </c>
      <c r="BT21" s="146">
        <v>0.0</v>
      </c>
      <c r="BU21" s="146">
        <v>33.0</v>
      </c>
      <c r="BV21" s="136" t="s">
        <v>493</v>
      </c>
      <c r="BW21" s="104"/>
      <c r="BX21" s="146">
        <v>3.0</v>
      </c>
      <c r="BY21" s="146">
        <v>0.0</v>
      </c>
      <c r="BZ21" s="146">
        <v>0.0</v>
      </c>
      <c r="CA21" s="146">
        <v>34.0</v>
      </c>
      <c r="CB21" s="136" t="s">
        <v>493</v>
      </c>
      <c r="CC21" s="104"/>
      <c r="CD21" s="87"/>
      <c r="CE21" s="87"/>
      <c r="CF21" s="87"/>
      <c r="CG21" s="87"/>
      <c r="CH21" s="87"/>
      <c r="CI21" s="104"/>
      <c r="CJ21" s="87"/>
      <c r="CK21" s="87"/>
      <c r="CL21" s="87"/>
      <c r="CM21" s="87"/>
      <c r="CN21" s="87"/>
      <c r="CO21" s="104"/>
      <c r="CP21" s="105"/>
      <c r="CQ21" s="105"/>
      <c r="CR21" s="105"/>
      <c r="CS21" s="105"/>
      <c r="CT21" s="87"/>
      <c r="CU21" s="104"/>
      <c r="CV21" s="105"/>
      <c r="CW21" s="105"/>
      <c r="CX21" s="105"/>
      <c r="CY21" s="105"/>
      <c r="CZ21" s="87"/>
      <c r="DA21" s="104"/>
      <c r="DB21" s="105"/>
      <c r="DC21" s="105"/>
      <c r="DD21" s="105"/>
      <c r="DE21" s="105"/>
      <c r="DF21" s="87"/>
      <c r="DG21" s="104"/>
      <c r="DH21" s="105"/>
      <c r="DI21" s="105"/>
      <c r="DJ21" s="105"/>
      <c r="DK21" s="105"/>
      <c r="DL21" s="87"/>
      <c r="DM21" s="104"/>
      <c r="DN21" s="105"/>
      <c r="DO21" s="105"/>
      <c r="DP21" s="105"/>
      <c r="DQ21" s="105"/>
      <c r="DR21" s="87"/>
      <c r="DS21" s="130"/>
      <c r="DT21" s="108"/>
      <c r="DU21" s="108"/>
      <c r="DW21" s="109"/>
      <c r="DX21" s="110">
        <f t="shared" si="13"/>
        <v>9</v>
      </c>
      <c r="DY21" s="111">
        <f t="shared" ref="DY21:DZ21" si="91">sum(BS21,BY21,CE21,CK21,CQ21,CW21,DC21,DI21,DO21)</f>
        <v>0</v>
      </c>
      <c r="DZ21" s="111">
        <f t="shared" si="91"/>
        <v>0</v>
      </c>
      <c r="EA21" s="110">
        <f t="shared" si="15"/>
        <v>33.5</v>
      </c>
      <c r="EB21" s="99" t="str">
        <f t="shared" si="16"/>
        <v>20 - 34</v>
      </c>
      <c r="EC21" s="112"/>
      <c r="ED21" s="113">
        <f t="shared" si="17"/>
        <v>4.2</v>
      </c>
      <c r="EE21" s="114">
        <f>IF(V21 &lt;&gt; "", 1+((V21-MIN(discount_rates))*(4)/(MAX(discount_rates) - MIN(discount_rates))), "")</f>
        <v>2.052631579</v>
      </c>
      <c r="EF21" s="114" t="str">
        <f>IF(Q21="Debt", (1+((S21-MIN(interest_rates))*(4)/(MAX(interest_rates) - MIN(interest_rates)))), "")</f>
        <v/>
      </c>
      <c r="EG21" s="114" t="str">
        <f>IF(OR(Q21="Revenue Share", Q21="Profit Share"), (1+((R21-MIN(return_mutiples))*(4)/(MAX(return_mutiples) - MIN(return_mutiples)))), "")</f>
        <v/>
      </c>
      <c r="EH21" s="115">
        <f t="shared" si="18"/>
        <v>4.2</v>
      </c>
      <c r="EI21" s="116" t="str">
        <f t="shared" si="19"/>
        <v>SAFE</v>
      </c>
      <c r="EJ21" s="117">
        <f t="shared" si="20"/>
        <v>0.3561643836</v>
      </c>
      <c r="EK21" s="116" t="str">
        <f t="shared" si="21"/>
        <v>Early</v>
      </c>
      <c r="EL21" s="112"/>
      <c r="EM21" s="118">
        <f t="shared" si="22"/>
        <v>3.6</v>
      </c>
      <c r="EN21" s="118">
        <f t="shared" si="23"/>
        <v>1.7</v>
      </c>
      <c r="EO21" s="119">
        <f t="shared" si="24"/>
        <v>5.3</v>
      </c>
      <c r="EP21" s="115">
        <f>1+((EO21-MIN(market_ratings_sums))*(4)/(MAX(market_ratings_sums) - MIN(market_ratings_sums)))</f>
        <v>2.824561404</v>
      </c>
      <c r="EQ21" s="116" t="str">
        <f t="shared" si="25"/>
        <v>Yes</v>
      </c>
      <c r="ER21" s="112"/>
      <c r="ES21" s="123">
        <f>1+((DX21-MIN(industry_experiences))*(4)/(MAX(industry_experiences) - MIN(industry_experiences)))</f>
        <v>1.857142857</v>
      </c>
      <c r="ET21" s="123">
        <f>1+((DY21-MIN(previous_startups))*(4)/(MAX(previous_startups) - MIN(previous_startups)))</f>
        <v>1</v>
      </c>
      <c r="EU21" s="123">
        <f>1+((DZ21-MIN(exits))*(4)/(MAX(exits) - MIN(exits)))</f>
        <v>1</v>
      </c>
      <c r="EV21" s="119">
        <f t="shared" si="26"/>
        <v>3.857142857</v>
      </c>
      <c r="EW21" s="124">
        <f>1+((EV21-MIN(team_ratings_sums))*(4)/(MAX(team_ratings_sums) - MIN(team_ratings_sums)))</f>
        <v>1.469565217</v>
      </c>
      <c r="EX21" s="116" t="str">
        <f t="shared" si="27"/>
        <v>20 - 34</v>
      </c>
      <c r="EY21" s="125">
        <f t="shared" si="28"/>
        <v>0.2054794521</v>
      </c>
      <c r="EZ21" s="116">
        <f t="shared" si="29"/>
        <v>2</v>
      </c>
      <c r="FA21" s="125">
        <f t="shared" si="30"/>
        <v>0.4520547945</v>
      </c>
      <c r="FB21" s="116">
        <f t="shared" si="31"/>
        <v>3</v>
      </c>
      <c r="FC21" s="125">
        <f t="shared" si="32"/>
        <v>0.08219178082</v>
      </c>
      <c r="FD21" s="116" t="str">
        <f t="shared" si="33"/>
        <v>Yes</v>
      </c>
      <c r="FE21" s="125">
        <f t="shared" si="34"/>
        <v>0.2465753425</v>
      </c>
      <c r="FF21" s="116" t="str">
        <f t="shared" ref="FF21:FH21" si="92">BJ21</f>
        <v>Yes</v>
      </c>
      <c r="FG21" s="116" t="str">
        <f t="shared" si="92"/>
        <v>No</v>
      </c>
      <c r="FH21" s="116" t="str">
        <f t="shared" si="92"/>
        <v>No</v>
      </c>
      <c r="FI21" s="112"/>
      <c r="FJ21" s="116" t="str">
        <f t="shared" si="36"/>
        <v>Recurring</v>
      </c>
      <c r="FK21" s="125">
        <f t="shared" si="37"/>
        <v>0.397260274</v>
      </c>
      <c r="FL21" s="116" t="str">
        <f t="shared" si="38"/>
        <v>B2C</v>
      </c>
      <c r="FM21" s="125">
        <f t="shared" si="39"/>
        <v>0.397260274</v>
      </c>
      <c r="FN21" s="116" t="str">
        <f t="shared" si="40"/>
        <v>High</v>
      </c>
      <c r="FO21" s="125">
        <f t="shared" si="41"/>
        <v>0.5616438356</v>
      </c>
      <c r="FP21" s="116" t="str">
        <f t="shared" si="42"/>
        <v>High</v>
      </c>
      <c r="FQ21" s="125">
        <f t="shared" si="43"/>
        <v>0.6438356164</v>
      </c>
      <c r="FR21" s="112"/>
      <c r="FS21" s="123">
        <f t="shared" si="44"/>
        <v>5</v>
      </c>
      <c r="FT21" s="123">
        <f t="shared" si="45"/>
        <v>1.9</v>
      </c>
      <c r="FU21" s="123">
        <f t="shared" si="46"/>
        <v>5</v>
      </c>
      <c r="FV21" s="123">
        <f t="shared" si="47"/>
        <v>3.7</v>
      </c>
      <c r="FW21" s="119">
        <f t="shared" si="48"/>
        <v>15.6</v>
      </c>
      <c r="FX21" s="115">
        <f>1+((FW21-MIN(performance_ratings_sums))*(4)/(MAX(performance_ratings_sums) - MIN(performance_ratings_sums)))</f>
        <v>4.327102804</v>
      </c>
      <c r="FY21" s="116" t="str">
        <f t="shared" si="49"/>
        <v>Pre-Profit</v>
      </c>
      <c r="FZ21" s="126">
        <f t="shared" si="50"/>
        <v>0.4931506849</v>
      </c>
      <c r="GA21" s="112"/>
      <c r="GB21" s="127">
        <f t="shared" si="51"/>
        <v>3</v>
      </c>
      <c r="GC21" s="116" t="str">
        <f t="shared" si="52"/>
        <v>No</v>
      </c>
      <c r="GD21" s="126">
        <f t="shared" si="53"/>
        <v>0.7671232877</v>
      </c>
      <c r="GE21" s="126" t="str">
        <f t="shared" si="54"/>
        <v>Low</v>
      </c>
      <c r="GF21" s="126">
        <f t="shared" si="55"/>
        <v>0.5479452055</v>
      </c>
      <c r="GG21" s="126" t="str">
        <f t="shared" si="56"/>
        <v>High</v>
      </c>
      <c r="GH21" s="126">
        <f t="shared" si="57"/>
        <v>0.8082191781</v>
      </c>
      <c r="GI21" s="112"/>
      <c r="GJ21" s="116"/>
      <c r="GK21" s="119">
        <f t="shared" si="58"/>
        <v>15.82122942</v>
      </c>
      <c r="GL21" s="128">
        <f>1+((GK21-MIN(ratings_sums))*(4)/(MAX(ratings_sums) - MIN(ratings_sums)))</f>
        <v>3.647181722</v>
      </c>
    </row>
    <row r="22" ht="15.75" customHeight="1">
      <c r="A22" s="87" t="s">
        <v>427</v>
      </c>
      <c r="B22" s="135">
        <v>1708246.0</v>
      </c>
      <c r="C22" s="136" t="s">
        <v>639</v>
      </c>
      <c r="D22" s="148">
        <v>43881.43402777778</v>
      </c>
      <c r="E22" s="138" t="s">
        <v>640</v>
      </c>
      <c r="F22" s="139" t="s">
        <v>641</v>
      </c>
      <c r="G22" s="91" t="s">
        <v>642</v>
      </c>
      <c r="H22" s="140">
        <v>43880.0</v>
      </c>
      <c r="I22" s="136" t="s">
        <v>643</v>
      </c>
      <c r="J22" s="136" t="s">
        <v>639</v>
      </c>
      <c r="K22" s="138" t="s">
        <v>543</v>
      </c>
      <c r="L22" s="138" t="s">
        <v>316</v>
      </c>
      <c r="M22" s="138" t="s">
        <v>31</v>
      </c>
      <c r="N22" s="138" t="s">
        <v>82</v>
      </c>
      <c r="O22" s="138" t="s">
        <v>35</v>
      </c>
      <c r="P22" s="90"/>
      <c r="Q22" s="138" t="s">
        <v>84</v>
      </c>
      <c r="R22" s="93"/>
      <c r="S22" s="94"/>
      <c r="T22" s="95"/>
      <c r="U22" s="17">
        <v>2.2E7</v>
      </c>
      <c r="V22" s="142">
        <v>0.2</v>
      </c>
      <c r="W22" s="96">
        <f t="shared" si="3"/>
        <v>17600000</v>
      </c>
      <c r="X22" s="98">
        <f t="shared" si="4"/>
        <v>17600000</v>
      </c>
      <c r="Y22" s="99" t="str">
        <f t="shared" si="5"/>
        <v>$16M - $18M</v>
      </c>
      <c r="Z22" s="138" t="s">
        <v>36</v>
      </c>
      <c r="AA22" s="138" t="s">
        <v>37</v>
      </c>
      <c r="AB22" s="138" t="s">
        <v>38</v>
      </c>
      <c r="AC22" s="138" t="s">
        <v>493</v>
      </c>
      <c r="AD22" s="138" t="s">
        <v>89</v>
      </c>
      <c r="AE22" s="143" t="s">
        <v>39</v>
      </c>
      <c r="AF22" s="138" t="s">
        <v>493</v>
      </c>
      <c r="AG22" s="144">
        <v>7.1E9</v>
      </c>
      <c r="AH22" s="97" t="str">
        <f t="shared" si="6"/>
        <v>$5B-$10B</v>
      </c>
      <c r="AI22" s="17">
        <v>3.5E9</v>
      </c>
      <c r="AJ22" s="97" t="str">
        <f t="shared" si="7"/>
        <v>$1B-$5B</v>
      </c>
      <c r="AK22" s="145">
        <v>0.058</v>
      </c>
      <c r="AL22" s="88" t="str">
        <f t="shared" si="8"/>
        <v>0%-10%</v>
      </c>
      <c r="AM22" s="135">
        <v>4.0</v>
      </c>
      <c r="AN22" s="138" t="s">
        <v>89</v>
      </c>
      <c r="AO22" s="138" t="s">
        <v>89</v>
      </c>
      <c r="AP22" s="138" t="s">
        <v>40</v>
      </c>
      <c r="AQ22" s="143" t="s">
        <v>39</v>
      </c>
      <c r="AR22" s="136" t="s">
        <v>89</v>
      </c>
      <c r="AS22" s="138" t="s">
        <v>469</v>
      </c>
      <c r="AT22" s="138" t="s">
        <v>493</v>
      </c>
      <c r="AU22" s="138" t="s">
        <v>469</v>
      </c>
      <c r="AV22" s="138" t="s">
        <v>469</v>
      </c>
      <c r="AW22" s="17">
        <v>0.0</v>
      </c>
      <c r="AX22" s="96" t="str">
        <f t="shared" si="9"/>
        <v>&lt; $10K</v>
      </c>
      <c r="AY22" s="17">
        <v>138175.0</v>
      </c>
      <c r="AZ22" s="144">
        <v>4900000.0</v>
      </c>
      <c r="BA22" s="103" t="str">
        <f t="shared" si="10"/>
        <v>$4M - $5M</v>
      </c>
      <c r="BB22" s="103">
        <f t="shared" si="11"/>
        <v>0.02819897959</v>
      </c>
      <c r="BC22" s="103" t="str">
        <f t="shared" si="12"/>
        <v>&lt; 10%</v>
      </c>
      <c r="BD22" s="138" t="s">
        <v>91</v>
      </c>
      <c r="BE22" s="90"/>
      <c r="BF22" s="138" t="s">
        <v>493</v>
      </c>
      <c r="BG22" s="135">
        <v>2.0</v>
      </c>
      <c r="BH22" s="135">
        <v>3.0</v>
      </c>
      <c r="BI22" s="138" t="s">
        <v>469</v>
      </c>
      <c r="BJ22" s="138" t="s">
        <v>493</v>
      </c>
      <c r="BK22" s="138" t="s">
        <v>469</v>
      </c>
      <c r="BL22" s="138" t="s">
        <v>469</v>
      </c>
      <c r="BM22" s="135">
        <v>7.0</v>
      </c>
      <c r="BN22" s="135">
        <v>5.0</v>
      </c>
      <c r="BO22" s="135">
        <v>0.0</v>
      </c>
      <c r="BP22" s="135">
        <v>0.0</v>
      </c>
      <c r="BQ22" s="104"/>
      <c r="BR22" s="146">
        <v>0.0</v>
      </c>
      <c r="BS22" s="146">
        <v>0.0</v>
      </c>
      <c r="BT22" s="146">
        <v>0.0</v>
      </c>
      <c r="BU22" s="146">
        <v>42.0</v>
      </c>
      <c r="BV22" s="136" t="s">
        <v>493</v>
      </c>
      <c r="BW22" s="104"/>
      <c r="BX22" s="146">
        <v>14.0</v>
      </c>
      <c r="BY22" s="146">
        <v>0.0</v>
      </c>
      <c r="BZ22" s="146">
        <v>0.0</v>
      </c>
      <c r="CA22" s="146">
        <v>39.0</v>
      </c>
      <c r="CB22" s="136" t="s">
        <v>493</v>
      </c>
      <c r="CC22" s="104"/>
      <c r="CD22" s="146">
        <v>0.0</v>
      </c>
      <c r="CE22" s="146">
        <v>1.0</v>
      </c>
      <c r="CF22" s="146">
        <v>0.0</v>
      </c>
      <c r="CG22" s="146">
        <v>59.0</v>
      </c>
      <c r="CH22" s="136" t="s">
        <v>493</v>
      </c>
      <c r="CI22" s="104"/>
      <c r="CJ22" s="87"/>
      <c r="CK22" s="87"/>
      <c r="CL22" s="87"/>
      <c r="CM22" s="87"/>
      <c r="CN22" s="87"/>
      <c r="CO22" s="104"/>
      <c r="CP22" s="87"/>
      <c r="CQ22" s="87"/>
      <c r="CR22" s="87"/>
      <c r="CS22" s="87"/>
      <c r="CT22" s="87"/>
      <c r="CU22" s="104"/>
      <c r="CV22" s="87"/>
      <c r="CW22" s="87"/>
      <c r="CX22" s="87"/>
      <c r="CY22" s="87"/>
      <c r="CZ22" s="87"/>
      <c r="DA22" s="104"/>
      <c r="DB22" s="87"/>
      <c r="DC22" s="87"/>
      <c r="DD22" s="87"/>
      <c r="DE22" s="87"/>
      <c r="DF22" s="87"/>
      <c r="DG22" s="104"/>
      <c r="DH22" s="87"/>
      <c r="DI22" s="87"/>
      <c r="DJ22" s="87"/>
      <c r="DK22" s="87"/>
      <c r="DL22" s="87"/>
      <c r="DM22" s="104"/>
      <c r="DN22" s="87"/>
      <c r="DO22" s="87"/>
      <c r="DP22" s="87"/>
      <c r="DQ22" s="87"/>
      <c r="DR22" s="87"/>
      <c r="DS22" s="130"/>
      <c r="DT22" s="108"/>
      <c r="DU22" s="108"/>
      <c r="DW22" s="109"/>
      <c r="DX22" s="110">
        <f t="shared" si="13"/>
        <v>4.666666667</v>
      </c>
      <c r="DY22" s="111">
        <f t="shared" ref="DY22:DZ22" si="93">sum(BS22,BY22,CE22,CK22,CQ22,CW22,DC22,DI22,DO22)</f>
        <v>1</v>
      </c>
      <c r="DZ22" s="111">
        <f t="shared" si="93"/>
        <v>0</v>
      </c>
      <c r="EA22" s="110">
        <f t="shared" si="15"/>
        <v>46.66666667</v>
      </c>
      <c r="EB22" s="99" t="str">
        <f t="shared" si="16"/>
        <v>35 - 54</v>
      </c>
      <c r="EC22" s="112"/>
      <c r="ED22" s="113">
        <f t="shared" si="17"/>
        <v>3.3</v>
      </c>
      <c r="EE22" s="114">
        <f>IF(V22 &lt;&gt; "", 1+((V22-MIN(discount_rates))*(4)/(MAX(discount_rates) - MIN(discount_rates))), "")</f>
        <v>3.105263158</v>
      </c>
      <c r="EF22" s="114" t="str">
        <f>IF(Q22="Debt", (1+((S22-MIN(interest_rates))*(4)/(MAX(interest_rates) - MIN(interest_rates)))), "")</f>
        <v/>
      </c>
      <c r="EG22" s="114" t="str">
        <f>IF(OR(Q22="Revenue Share", Q22="Profit Share"), (1+((R22-MIN(return_mutiples))*(4)/(MAX(return_mutiples) - MIN(return_mutiples)))), "")</f>
        <v/>
      </c>
      <c r="EH22" s="115">
        <f t="shared" si="18"/>
        <v>3.3</v>
      </c>
      <c r="EI22" s="116" t="str">
        <f t="shared" si="19"/>
        <v>Convertible Note</v>
      </c>
      <c r="EJ22" s="117">
        <f t="shared" si="20"/>
        <v>0.1232876712</v>
      </c>
      <c r="EK22" s="116" t="str">
        <f t="shared" si="21"/>
        <v>Early</v>
      </c>
      <c r="EL22" s="112"/>
      <c r="EM22" s="118">
        <f t="shared" si="22"/>
        <v>2.7</v>
      </c>
      <c r="EN22" s="118">
        <f t="shared" si="23"/>
        <v>1.7</v>
      </c>
      <c r="EO22" s="119">
        <f t="shared" si="24"/>
        <v>4.4</v>
      </c>
      <c r="EP22" s="115">
        <f>1+((EO22-MIN(market_ratings_sums))*(4)/(MAX(market_ratings_sums) - MIN(market_ratings_sums)))</f>
        <v>2.192982456</v>
      </c>
      <c r="EQ22" s="116" t="str">
        <f t="shared" si="25"/>
        <v>No</v>
      </c>
      <c r="ER22" s="112"/>
      <c r="ES22" s="123">
        <f>1+((DX22-MIN(industry_experiences))*(4)/(MAX(industry_experiences) - MIN(industry_experiences)))</f>
        <v>1.444444444</v>
      </c>
      <c r="ET22" s="123">
        <f>1+((DY22-MIN(previous_startups))*(4)/(MAX(previous_startups) - MIN(previous_startups)))</f>
        <v>1.444444444</v>
      </c>
      <c r="EU22" s="123">
        <f>1+((DZ22-MIN(exits))*(4)/(MAX(exits) - MIN(exits)))</f>
        <v>1</v>
      </c>
      <c r="EV22" s="119">
        <f t="shared" si="26"/>
        <v>3.888888889</v>
      </c>
      <c r="EW22" s="124">
        <f>1+((EV22-MIN(team_ratings_sums))*(4)/(MAX(team_ratings_sums) - MIN(team_ratings_sums)))</f>
        <v>1.486956522</v>
      </c>
      <c r="EX22" s="116" t="str">
        <f t="shared" si="27"/>
        <v>35 - 54</v>
      </c>
      <c r="EY22" s="125">
        <f t="shared" si="28"/>
        <v>0.6849315068</v>
      </c>
      <c r="EZ22" s="116">
        <f t="shared" si="29"/>
        <v>3</v>
      </c>
      <c r="FA22" s="125">
        <f t="shared" si="30"/>
        <v>0.05479452055</v>
      </c>
      <c r="FB22" s="116">
        <f t="shared" si="31"/>
        <v>5</v>
      </c>
      <c r="FC22" s="125">
        <f t="shared" si="32"/>
        <v>0.1369863014</v>
      </c>
      <c r="FD22" s="116" t="str">
        <f t="shared" si="33"/>
        <v>No</v>
      </c>
      <c r="FE22" s="125">
        <f t="shared" si="34"/>
        <v>0.7534246575</v>
      </c>
      <c r="FF22" s="116" t="str">
        <f t="shared" ref="FF22:FH22" si="94">BJ22</f>
        <v>Yes</v>
      </c>
      <c r="FG22" s="116" t="str">
        <f t="shared" si="94"/>
        <v>No</v>
      </c>
      <c r="FH22" s="116" t="str">
        <f t="shared" si="94"/>
        <v>No</v>
      </c>
      <c r="FI22" s="112"/>
      <c r="FJ22" s="116" t="str">
        <f t="shared" si="36"/>
        <v>Transactional</v>
      </c>
      <c r="FK22" s="125">
        <f t="shared" si="37"/>
        <v>0.602739726</v>
      </c>
      <c r="FL22" s="116" t="str">
        <f t="shared" si="38"/>
        <v>B2B</v>
      </c>
      <c r="FM22" s="125">
        <f t="shared" si="39"/>
        <v>0.2465753425</v>
      </c>
      <c r="FN22" s="116" t="str">
        <f t="shared" si="40"/>
        <v>Low</v>
      </c>
      <c r="FO22" s="125">
        <f t="shared" si="41"/>
        <v>0.4383561644</v>
      </c>
      <c r="FP22" s="116" t="str">
        <f t="shared" si="42"/>
        <v>High</v>
      </c>
      <c r="FQ22" s="125">
        <f t="shared" si="43"/>
        <v>0.6438356164</v>
      </c>
      <c r="FR22" s="112"/>
      <c r="FS22" s="123">
        <f t="shared" si="44"/>
        <v>1</v>
      </c>
      <c r="FT22" s="123">
        <f t="shared" si="45"/>
        <v>1</v>
      </c>
      <c r="FU22" s="123">
        <f t="shared" si="46"/>
        <v>5</v>
      </c>
      <c r="FV22" s="123">
        <f t="shared" si="47"/>
        <v>1.4</v>
      </c>
      <c r="FW22" s="119">
        <f t="shared" si="48"/>
        <v>8.4</v>
      </c>
      <c r="FX22" s="115">
        <f>1+((FW22-MIN(performance_ratings_sums))*(4)/(MAX(performance_ratings_sums) - MIN(performance_ratings_sums)))</f>
        <v>1.635514019</v>
      </c>
      <c r="FY22" s="116" t="str">
        <f t="shared" si="49"/>
        <v>Pre-Revenue</v>
      </c>
      <c r="FZ22" s="126">
        <f t="shared" si="50"/>
        <v>0.2054794521</v>
      </c>
      <c r="GA22" s="112"/>
      <c r="GB22" s="127">
        <f t="shared" si="51"/>
        <v>1</v>
      </c>
      <c r="GC22" s="116" t="str">
        <f t="shared" si="52"/>
        <v>Yes</v>
      </c>
      <c r="GD22" s="126">
        <f t="shared" si="53"/>
        <v>0.2328767123</v>
      </c>
      <c r="GE22" s="126" t="str">
        <f t="shared" si="54"/>
        <v>High</v>
      </c>
      <c r="GF22" s="126">
        <f t="shared" si="55"/>
        <v>0.4520547945</v>
      </c>
      <c r="GG22" s="126" t="str">
        <f t="shared" si="56"/>
        <v>Low</v>
      </c>
      <c r="GH22" s="126">
        <f t="shared" si="57"/>
        <v>0.1917808219</v>
      </c>
      <c r="GI22" s="112"/>
      <c r="GJ22" s="116"/>
      <c r="GK22" s="119">
        <f t="shared" si="58"/>
        <v>9.615452997</v>
      </c>
      <c r="GL22" s="128">
        <f>1+((GK22-MIN(ratings_sums))*(4)/(MAX(ratings_sums) - MIN(ratings_sums)))</f>
        <v>1.743001485</v>
      </c>
    </row>
    <row r="23" ht="15.75" customHeight="1">
      <c r="A23" s="87" t="s">
        <v>427</v>
      </c>
      <c r="B23" s="135">
        <v>1806364.0</v>
      </c>
      <c r="C23" s="136" t="s">
        <v>644</v>
      </c>
      <c r="D23" s="148"/>
      <c r="E23" s="138" t="s">
        <v>392</v>
      </c>
      <c r="F23" s="139" t="s">
        <v>645</v>
      </c>
      <c r="G23" s="91" t="s">
        <v>646</v>
      </c>
      <c r="H23" s="140">
        <v>43906.0</v>
      </c>
      <c r="I23" s="136" t="s">
        <v>647</v>
      </c>
      <c r="J23" s="136" t="s">
        <v>644</v>
      </c>
      <c r="K23" s="138" t="s">
        <v>402</v>
      </c>
      <c r="L23" s="138" t="s">
        <v>316</v>
      </c>
      <c r="M23" s="138" t="s">
        <v>31</v>
      </c>
      <c r="N23" s="138" t="s">
        <v>32</v>
      </c>
      <c r="O23" s="138" t="s">
        <v>35</v>
      </c>
      <c r="P23" s="90"/>
      <c r="Q23" s="138" t="s">
        <v>135</v>
      </c>
      <c r="R23" s="93"/>
      <c r="S23" s="94"/>
      <c r="T23" s="17">
        <v>1.2E7</v>
      </c>
      <c r="U23" s="95"/>
      <c r="V23" s="129"/>
      <c r="W23" s="96" t="str">
        <f t="shared" si="3"/>
        <v/>
      </c>
      <c r="X23" s="98">
        <f t="shared" si="4"/>
        <v>12000000</v>
      </c>
      <c r="Y23" s="99" t="str">
        <f t="shared" si="5"/>
        <v>$10M - $12M</v>
      </c>
      <c r="Z23" s="138" t="s">
        <v>36</v>
      </c>
      <c r="AA23" s="138" t="s">
        <v>87</v>
      </c>
      <c r="AB23" s="138" t="s">
        <v>38</v>
      </c>
      <c r="AC23" s="138" t="s">
        <v>493</v>
      </c>
      <c r="AD23" s="138" t="s">
        <v>89</v>
      </c>
      <c r="AE23" s="143" t="s">
        <v>39</v>
      </c>
      <c r="AF23" s="138" t="s">
        <v>469</v>
      </c>
      <c r="AG23" s="144">
        <v>1.84E11</v>
      </c>
      <c r="AH23" s="97" t="str">
        <f t="shared" si="6"/>
        <v>$100B-$250B</v>
      </c>
      <c r="AI23" s="144">
        <v>4.26E10</v>
      </c>
      <c r="AJ23" s="97" t="str">
        <f t="shared" si="7"/>
        <v>$25B-$50B</v>
      </c>
      <c r="AK23" s="145">
        <v>0.204</v>
      </c>
      <c r="AL23" s="88" t="str">
        <f t="shared" si="8"/>
        <v>20%-30%</v>
      </c>
      <c r="AM23" s="135">
        <v>9.0</v>
      </c>
      <c r="AN23" s="143" t="s">
        <v>39</v>
      </c>
      <c r="AO23" s="138" t="s">
        <v>89</v>
      </c>
      <c r="AP23" s="138" t="s">
        <v>90</v>
      </c>
      <c r="AQ23" s="136" t="s">
        <v>89</v>
      </c>
      <c r="AR23" s="143" t="s">
        <v>39</v>
      </c>
      <c r="AS23" s="138" t="s">
        <v>469</v>
      </c>
      <c r="AT23" s="138" t="s">
        <v>469</v>
      </c>
      <c r="AU23" s="138" t="s">
        <v>493</v>
      </c>
      <c r="AV23" s="138" t="s">
        <v>493</v>
      </c>
      <c r="AW23" s="17">
        <v>4428320.0</v>
      </c>
      <c r="AX23" s="96" t="str">
        <f t="shared" si="9"/>
        <v>$4M - $5M</v>
      </c>
      <c r="AY23" s="17">
        <v>261255.0</v>
      </c>
      <c r="AZ23" s="144">
        <v>3274790.0</v>
      </c>
      <c r="BA23" s="103" t="str">
        <f t="shared" si="10"/>
        <v>$3M - $4M</v>
      </c>
      <c r="BB23" s="103">
        <f t="shared" si="11"/>
        <v>0.0797776346</v>
      </c>
      <c r="BC23" s="103" t="str">
        <f t="shared" si="12"/>
        <v>&lt; 10%</v>
      </c>
      <c r="BD23" s="138" t="s">
        <v>107</v>
      </c>
      <c r="BE23" s="90"/>
      <c r="BF23" s="138" t="s">
        <v>493</v>
      </c>
      <c r="BG23" s="135">
        <v>1.0</v>
      </c>
      <c r="BH23" s="135">
        <v>1.0</v>
      </c>
      <c r="BI23" s="138" t="s">
        <v>469</v>
      </c>
      <c r="BJ23" s="138" t="s">
        <v>469</v>
      </c>
      <c r="BK23" s="138" t="s">
        <v>469</v>
      </c>
      <c r="BL23" s="138" t="s">
        <v>469</v>
      </c>
      <c r="BM23" s="135">
        <v>0.0</v>
      </c>
      <c r="BN23" s="135">
        <v>27.0</v>
      </c>
      <c r="BO23" s="135">
        <v>0.0</v>
      </c>
      <c r="BP23" s="135">
        <v>1.0</v>
      </c>
      <c r="BQ23" s="104"/>
      <c r="BR23" s="146">
        <v>11.0</v>
      </c>
      <c r="BS23" s="146">
        <v>2.0</v>
      </c>
      <c r="BT23" s="146">
        <v>1.0</v>
      </c>
      <c r="BU23" s="146">
        <v>42.0</v>
      </c>
      <c r="BV23" s="87" t="s">
        <v>469</v>
      </c>
      <c r="BW23" s="104"/>
      <c r="BX23" s="87"/>
      <c r="BY23" s="87"/>
      <c r="BZ23" s="87"/>
      <c r="CA23" s="87"/>
      <c r="CB23" s="87"/>
      <c r="CC23" s="104"/>
      <c r="CD23" s="87"/>
      <c r="CE23" s="87"/>
      <c r="CF23" s="87"/>
      <c r="CG23" s="87"/>
      <c r="CH23" s="87"/>
      <c r="CI23" s="104"/>
      <c r="CJ23" s="87"/>
      <c r="CK23" s="87"/>
      <c r="CL23" s="87"/>
      <c r="CM23" s="87"/>
      <c r="CN23" s="87"/>
      <c r="CO23" s="104"/>
      <c r="CP23" s="105"/>
      <c r="CQ23" s="105"/>
      <c r="CR23" s="105"/>
      <c r="CS23" s="105"/>
      <c r="CT23" s="87"/>
      <c r="CU23" s="104"/>
      <c r="CV23" s="105"/>
      <c r="CW23" s="105"/>
      <c r="CX23" s="105"/>
      <c r="CY23" s="105"/>
      <c r="CZ23" s="87"/>
      <c r="DA23" s="104"/>
      <c r="DB23" s="105"/>
      <c r="DC23" s="105"/>
      <c r="DD23" s="105"/>
      <c r="DE23" s="105"/>
      <c r="DF23" s="87"/>
      <c r="DG23" s="104"/>
      <c r="DH23" s="105"/>
      <c r="DI23" s="105"/>
      <c r="DJ23" s="105"/>
      <c r="DK23" s="105"/>
      <c r="DL23" s="87"/>
      <c r="DM23" s="104"/>
      <c r="DN23" s="105"/>
      <c r="DO23" s="105"/>
      <c r="DP23" s="105"/>
      <c r="DQ23" s="105"/>
      <c r="DR23" s="87"/>
      <c r="DS23" s="130"/>
      <c r="DT23" s="108"/>
      <c r="DU23" s="108"/>
      <c r="DW23" s="109"/>
      <c r="DX23" s="110">
        <f t="shared" si="13"/>
        <v>11</v>
      </c>
      <c r="DY23" s="111">
        <f t="shared" ref="DY23:DZ23" si="95">sum(BS23,BY23,CE23,CK23,CQ23,CW23,DC23,DI23,DO23)</f>
        <v>2</v>
      </c>
      <c r="DZ23" s="111">
        <f t="shared" si="95"/>
        <v>1</v>
      </c>
      <c r="EA23" s="110">
        <f t="shared" si="15"/>
        <v>42</v>
      </c>
      <c r="EB23" s="99" t="str">
        <f t="shared" si="16"/>
        <v>35 - 54</v>
      </c>
      <c r="EC23" s="112"/>
      <c r="ED23" s="113">
        <f t="shared" si="17"/>
        <v>3.9</v>
      </c>
      <c r="EE23" s="114" t="str">
        <f>IF(V23 &lt;&gt; "", 1+((V23-MIN(discount_rates))*(4)/(MAX(discount_rates) - MIN(discount_rates))), "")</f>
        <v/>
      </c>
      <c r="EF23" s="114" t="str">
        <f>IF(Q23="Debt", (1+((S23-MIN(interest_rates))*(4)/(MAX(interest_rates) - MIN(interest_rates)))), "")</f>
        <v/>
      </c>
      <c r="EG23" s="114" t="str">
        <f>IF(OR(Q23="Revenue Share", Q23="Profit Share"), (1+((R23-MIN(return_mutiples))*(4)/(MAX(return_mutiples) - MIN(return_mutiples)))), "")</f>
        <v/>
      </c>
      <c r="EH23" s="115">
        <f t="shared" si="18"/>
        <v>3.9</v>
      </c>
      <c r="EI23" s="116" t="str">
        <f t="shared" si="19"/>
        <v>Equity - Preferred</v>
      </c>
      <c r="EJ23" s="117">
        <f t="shared" si="20"/>
        <v>0.06849315068</v>
      </c>
      <c r="EK23" s="116" t="str">
        <f t="shared" si="21"/>
        <v>Early</v>
      </c>
      <c r="EL23" s="112"/>
      <c r="EM23" s="118">
        <f t="shared" si="22"/>
        <v>3.6</v>
      </c>
      <c r="EN23" s="118">
        <f t="shared" si="23"/>
        <v>3</v>
      </c>
      <c r="EO23" s="119">
        <f t="shared" si="24"/>
        <v>6.6</v>
      </c>
      <c r="EP23" s="115">
        <f>1+((EO23-MIN(market_ratings_sums))*(4)/(MAX(market_ratings_sums) - MIN(market_ratings_sums)))</f>
        <v>3.736842105</v>
      </c>
      <c r="EQ23" s="116" t="str">
        <f t="shared" si="25"/>
        <v>No</v>
      </c>
      <c r="ER23" s="112"/>
      <c r="ES23" s="123">
        <f>1+((DX23-MIN(industry_experiences))*(4)/(MAX(industry_experiences) - MIN(industry_experiences)))</f>
        <v>2.047619048</v>
      </c>
      <c r="ET23" s="123">
        <f>1+((DY23-MIN(previous_startups))*(4)/(MAX(previous_startups) - MIN(previous_startups)))</f>
        <v>1.888888889</v>
      </c>
      <c r="EU23" s="123">
        <f>1+((DZ23-MIN(exits))*(4)/(MAX(exits) - MIN(exits)))</f>
        <v>2</v>
      </c>
      <c r="EV23" s="119">
        <f t="shared" si="26"/>
        <v>5.936507937</v>
      </c>
      <c r="EW23" s="124">
        <f>1+((EV23-MIN(team_ratings_sums))*(4)/(MAX(team_ratings_sums) - MIN(team_ratings_sums)))</f>
        <v>2.608695652</v>
      </c>
      <c r="EX23" s="116" t="str">
        <f t="shared" si="27"/>
        <v>35 - 54</v>
      </c>
      <c r="EY23" s="125">
        <f t="shared" si="28"/>
        <v>0.6849315068</v>
      </c>
      <c r="EZ23" s="116">
        <f t="shared" si="29"/>
        <v>1</v>
      </c>
      <c r="FA23" s="125">
        <f t="shared" si="30"/>
        <v>0.4383561644</v>
      </c>
      <c r="FB23" s="116">
        <f t="shared" si="31"/>
        <v>27</v>
      </c>
      <c r="FC23" s="125">
        <f t="shared" si="32"/>
        <v>0.01369863014</v>
      </c>
      <c r="FD23" s="116" t="str">
        <f t="shared" si="33"/>
        <v>No</v>
      </c>
      <c r="FE23" s="125">
        <f t="shared" si="34"/>
        <v>0.7534246575</v>
      </c>
      <c r="FF23" s="116" t="str">
        <f t="shared" ref="FF23:FH23" si="96">BJ23</f>
        <v>No</v>
      </c>
      <c r="FG23" s="116" t="str">
        <f t="shared" si="96"/>
        <v>No</v>
      </c>
      <c r="FH23" s="116" t="str">
        <f t="shared" si="96"/>
        <v>No</v>
      </c>
      <c r="FI23" s="112"/>
      <c r="FJ23" s="116" t="str">
        <f t="shared" si="36"/>
        <v>Transactional</v>
      </c>
      <c r="FK23" s="125">
        <f t="shared" si="37"/>
        <v>0.602739726</v>
      </c>
      <c r="FL23" s="116" t="str">
        <f t="shared" si="38"/>
        <v>B2C</v>
      </c>
      <c r="FM23" s="125">
        <f t="shared" si="39"/>
        <v>0.397260274</v>
      </c>
      <c r="FN23" s="116" t="str">
        <f t="shared" si="40"/>
        <v>Low</v>
      </c>
      <c r="FO23" s="125">
        <f t="shared" si="41"/>
        <v>0.4383561644</v>
      </c>
      <c r="FP23" s="116" t="str">
        <f t="shared" si="42"/>
        <v>High</v>
      </c>
      <c r="FQ23" s="125">
        <f t="shared" si="43"/>
        <v>0.6438356164</v>
      </c>
      <c r="FR23" s="112"/>
      <c r="FS23" s="123">
        <f t="shared" si="44"/>
        <v>5</v>
      </c>
      <c r="FT23" s="123">
        <f t="shared" si="45"/>
        <v>4.6</v>
      </c>
      <c r="FU23" s="123">
        <f t="shared" si="46"/>
        <v>5</v>
      </c>
      <c r="FV23" s="123">
        <f t="shared" si="47"/>
        <v>1.9</v>
      </c>
      <c r="FW23" s="119">
        <f t="shared" si="48"/>
        <v>16.5</v>
      </c>
      <c r="FX23" s="115">
        <f>1+((FW23-MIN(performance_ratings_sums))*(4)/(MAX(performance_ratings_sums) - MIN(performance_ratings_sums)))</f>
        <v>4.663551402</v>
      </c>
      <c r="FY23" s="116" t="str">
        <f t="shared" si="49"/>
        <v>Pre-Profit</v>
      </c>
      <c r="FZ23" s="126">
        <f t="shared" si="50"/>
        <v>0.4931506849</v>
      </c>
      <c r="GA23" s="112"/>
      <c r="GB23" s="127">
        <f t="shared" si="51"/>
        <v>3</v>
      </c>
      <c r="GC23" s="116" t="str">
        <f t="shared" si="52"/>
        <v>No</v>
      </c>
      <c r="GD23" s="126">
        <f t="shared" si="53"/>
        <v>0.7671232877</v>
      </c>
      <c r="GE23" s="126" t="str">
        <f t="shared" si="54"/>
        <v>Low</v>
      </c>
      <c r="GF23" s="126">
        <f t="shared" si="55"/>
        <v>0.5479452055</v>
      </c>
      <c r="GG23" s="126" t="str">
        <f t="shared" si="56"/>
        <v>High</v>
      </c>
      <c r="GH23" s="126">
        <f t="shared" si="57"/>
        <v>0.8082191781</v>
      </c>
      <c r="GI23" s="112"/>
      <c r="GJ23" s="116"/>
      <c r="GK23" s="119">
        <f t="shared" si="58"/>
        <v>17.90908916</v>
      </c>
      <c r="GL23" s="128">
        <f>1+((GK23-MIN(ratings_sums))*(4)/(MAX(ratings_sums) - MIN(ratings_sums)))</f>
        <v>4.287820535</v>
      </c>
    </row>
    <row r="24" ht="15.75" customHeight="1">
      <c r="A24" s="87" t="s">
        <v>427</v>
      </c>
      <c r="B24" s="135">
        <v>1803906.0</v>
      </c>
      <c r="C24" s="136" t="s">
        <v>648</v>
      </c>
      <c r="D24" s="148"/>
      <c r="E24" s="138" t="s">
        <v>350</v>
      </c>
      <c r="F24" s="139" t="s">
        <v>649</v>
      </c>
      <c r="G24" s="91" t="s">
        <v>650</v>
      </c>
      <c r="H24" s="140">
        <v>43915.0</v>
      </c>
      <c r="I24" s="136" t="s">
        <v>651</v>
      </c>
      <c r="J24" s="136" t="s">
        <v>648</v>
      </c>
      <c r="K24" s="138" t="s">
        <v>445</v>
      </c>
      <c r="L24" s="138" t="s">
        <v>221</v>
      </c>
      <c r="M24" s="138" t="s">
        <v>31</v>
      </c>
      <c r="N24" s="138" t="s">
        <v>82</v>
      </c>
      <c r="O24" s="138" t="s">
        <v>35</v>
      </c>
      <c r="P24" s="90"/>
      <c r="Q24" s="138" t="s">
        <v>121</v>
      </c>
      <c r="R24" s="93"/>
      <c r="S24" s="94"/>
      <c r="T24" s="17">
        <v>2500000.0</v>
      </c>
      <c r="U24" s="95"/>
      <c r="V24" s="129"/>
      <c r="W24" s="96" t="str">
        <f t="shared" si="3"/>
        <v/>
      </c>
      <c r="X24" s="98">
        <f t="shared" si="4"/>
        <v>2500000</v>
      </c>
      <c r="Y24" s="99" t="str">
        <f t="shared" si="5"/>
        <v>$2M - $4M</v>
      </c>
      <c r="Z24" s="138" t="s">
        <v>86</v>
      </c>
      <c r="AA24" s="138" t="s">
        <v>87</v>
      </c>
      <c r="AB24" s="143" t="s">
        <v>88</v>
      </c>
      <c r="AC24" s="138" t="s">
        <v>493</v>
      </c>
      <c r="AD24" s="138" t="s">
        <v>89</v>
      </c>
      <c r="AE24" s="138" t="s">
        <v>89</v>
      </c>
      <c r="AF24" s="138" t="s">
        <v>469</v>
      </c>
      <c r="AG24" s="144">
        <v>1.001E11</v>
      </c>
      <c r="AH24" s="97" t="str">
        <f t="shared" si="6"/>
        <v>$100B-$250B</v>
      </c>
      <c r="AI24" s="144">
        <v>5.18E9</v>
      </c>
      <c r="AJ24" s="97" t="str">
        <f t="shared" si="7"/>
        <v>$5B-$10B</v>
      </c>
      <c r="AK24" s="145">
        <v>0.07</v>
      </c>
      <c r="AL24" s="88" t="str">
        <f t="shared" si="8"/>
        <v>0%-10%</v>
      </c>
      <c r="AM24" s="135">
        <v>25.0</v>
      </c>
      <c r="AN24" s="138" t="s">
        <v>89</v>
      </c>
      <c r="AO24" s="138" t="s">
        <v>89</v>
      </c>
      <c r="AP24" s="138" t="s">
        <v>106</v>
      </c>
      <c r="AQ24" s="136" t="s">
        <v>89</v>
      </c>
      <c r="AR24" s="143" t="s">
        <v>39</v>
      </c>
      <c r="AS24" s="138" t="s">
        <v>469</v>
      </c>
      <c r="AT24" s="138" t="s">
        <v>469</v>
      </c>
      <c r="AU24" s="138" t="s">
        <v>469</v>
      </c>
      <c r="AV24" s="138" t="s">
        <v>469</v>
      </c>
      <c r="AW24" s="17">
        <v>0.0</v>
      </c>
      <c r="AX24" s="96" t="str">
        <f t="shared" si="9"/>
        <v>&lt; $10K</v>
      </c>
      <c r="AY24" s="17">
        <v>3685.0</v>
      </c>
      <c r="AZ24" s="144">
        <v>600000.0</v>
      </c>
      <c r="BA24" s="103" t="str">
        <f t="shared" si="10"/>
        <v>$500K - $1M</v>
      </c>
      <c r="BB24" s="103">
        <f t="shared" si="11"/>
        <v>0.006141666667</v>
      </c>
      <c r="BC24" s="103" t="str">
        <f t="shared" si="12"/>
        <v>&lt; 10%</v>
      </c>
      <c r="BD24" s="138" t="s">
        <v>91</v>
      </c>
      <c r="BE24" s="90"/>
      <c r="BF24" s="138" t="s">
        <v>493</v>
      </c>
      <c r="BG24" s="135">
        <v>10.0</v>
      </c>
      <c r="BH24" s="135">
        <v>2.0</v>
      </c>
      <c r="BI24" s="138" t="s">
        <v>469</v>
      </c>
      <c r="BJ24" s="138" t="s">
        <v>469</v>
      </c>
      <c r="BK24" s="138" t="s">
        <v>469</v>
      </c>
      <c r="BL24" s="138" t="s">
        <v>469</v>
      </c>
      <c r="BM24" s="135">
        <v>2.0</v>
      </c>
      <c r="BN24" s="135">
        <v>4.0</v>
      </c>
      <c r="BO24" s="135">
        <v>0.0</v>
      </c>
      <c r="BP24" s="135">
        <v>0.0</v>
      </c>
      <c r="BQ24" s="104"/>
      <c r="BR24" s="146">
        <v>0.0</v>
      </c>
      <c r="BS24" s="146">
        <v>3.0</v>
      </c>
      <c r="BT24" s="146">
        <v>0.0</v>
      </c>
      <c r="BU24" s="146">
        <v>35.0</v>
      </c>
      <c r="BV24" s="136" t="s">
        <v>493</v>
      </c>
      <c r="BW24" s="104"/>
      <c r="BX24" s="146">
        <v>20.0</v>
      </c>
      <c r="BY24" s="146">
        <v>1.0</v>
      </c>
      <c r="BZ24" s="146">
        <v>0.0</v>
      </c>
      <c r="CA24" s="146">
        <v>45.0</v>
      </c>
      <c r="CB24" s="136" t="s">
        <v>493</v>
      </c>
      <c r="CC24" s="104"/>
      <c r="CD24" s="87"/>
      <c r="CE24" s="87"/>
      <c r="CF24" s="87"/>
      <c r="CG24" s="87"/>
      <c r="CH24" s="87"/>
      <c r="CI24" s="104"/>
      <c r="CJ24" s="87"/>
      <c r="CK24" s="87"/>
      <c r="CL24" s="87"/>
      <c r="CM24" s="87"/>
      <c r="CN24" s="87"/>
      <c r="CO24" s="104"/>
      <c r="CP24" s="87"/>
      <c r="CQ24" s="87"/>
      <c r="CR24" s="87"/>
      <c r="CS24" s="87"/>
      <c r="CT24" s="87"/>
      <c r="CU24" s="104"/>
      <c r="CV24" s="87"/>
      <c r="CW24" s="87"/>
      <c r="CX24" s="87"/>
      <c r="CY24" s="87"/>
      <c r="CZ24" s="87"/>
      <c r="DA24" s="104"/>
      <c r="DB24" s="87"/>
      <c r="DC24" s="87"/>
      <c r="DD24" s="87"/>
      <c r="DE24" s="87"/>
      <c r="DF24" s="87"/>
      <c r="DG24" s="104"/>
      <c r="DH24" s="87"/>
      <c r="DI24" s="87"/>
      <c r="DJ24" s="87"/>
      <c r="DK24" s="87"/>
      <c r="DL24" s="87"/>
      <c r="DM24" s="104"/>
      <c r="DN24" s="87"/>
      <c r="DO24" s="87"/>
      <c r="DP24" s="87"/>
      <c r="DQ24" s="87"/>
      <c r="DR24" s="87"/>
      <c r="DS24" s="130"/>
      <c r="DT24" s="108"/>
      <c r="DU24" s="108"/>
      <c r="DW24" s="109"/>
      <c r="DX24" s="110">
        <f t="shared" si="13"/>
        <v>10</v>
      </c>
      <c r="DY24" s="111">
        <f t="shared" ref="DY24:DZ24" si="97">sum(BS24,BY24,CE24,CK24,CQ24,CW24,DC24,DI24,DO24)</f>
        <v>4</v>
      </c>
      <c r="DZ24" s="111">
        <f t="shared" si="97"/>
        <v>0</v>
      </c>
      <c r="EA24" s="110">
        <f t="shared" si="15"/>
        <v>40</v>
      </c>
      <c r="EB24" s="99" t="str">
        <f t="shared" si="16"/>
        <v>35 - 54</v>
      </c>
      <c r="EC24" s="112"/>
      <c r="ED24" s="113">
        <f t="shared" si="17"/>
        <v>4.6</v>
      </c>
      <c r="EE24" s="114" t="str">
        <f>IF(V24 &lt;&gt; "", 1+((V24-MIN(discount_rates))*(4)/(MAX(discount_rates) - MIN(discount_rates))), "")</f>
        <v/>
      </c>
      <c r="EF24" s="114" t="str">
        <f>IF(Q24="Debt", (1+((S24-MIN(interest_rates))*(4)/(MAX(interest_rates) - MIN(interest_rates)))), "")</f>
        <v/>
      </c>
      <c r="EG24" s="114" t="str">
        <f>IF(OR(Q24="Revenue Share", Q24="Profit Share"), (1+((R24-MIN(return_mutiples))*(4)/(MAX(return_mutiples) - MIN(return_mutiples)))), "")</f>
        <v/>
      </c>
      <c r="EH24" s="115">
        <f t="shared" si="18"/>
        <v>4.6</v>
      </c>
      <c r="EI24" s="116" t="str">
        <f t="shared" si="19"/>
        <v>Equity - Common</v>
      </c>
      <c r="EJ24" s="117">
        <f t="shared" si="20"/>
        <v>0.3287671233</v>
      </c>
      <c r="EK24" s="116" t="str">
        <f t="shared" si="21"/>
        <v>Early</v>
      </c>
      <c r="EL24" s="112"/>
      <c r="EM24" s="118">
        <f t="shared" si="22"/>
        <v>3</v>
      </c>
      <c r="EN24" s="118">
        <f t="shared" si="23"/>
        <v>1.7</v>
      </c>
      <c r="EO24" s="119">
        <f t="shared" si="24"/>
        <v>4.7</v>
      </c>
      <c r="EP24" s="115">
        <f>1+((EO24-MIN(market_ratings_sums))*(4)/(MAX(market_ratings_sums) - MIN(market_ratings_sums)))</f>
        <v>2.403508772</v>
      </c>
      <c r="EQ24" s="116" t="str">
        <f t="shared" si="25"/>
        <v>No</v>
      </c>
      <c r="ER24" s="112"/>
      <c r="ES24" s="123">
        <f>1+((DX24-MIN(industry_experiences))*(4)/(MAX(industry_experiences) - MIN(industry_experiences)))</f>
        <v>1.952380952</v>
      </c>
      <c r="ET24" s="123">
        <f>1+((DY24-MIN(previous_startups))*(4)/(MAX(previous_startups) - MIN(previous_startups)))</f>
        <v>2.777777778</v>
      </c>
      <c r="EU24" s="123">
        <f>1+((DZ24-MIN(exits))*(4)/(MAX(exits) - MIN(exits)))</f>
        <v>1</v>
      </c>
      <c r="EV24" s="119">
        <f t="shared" si="26"/>
        <v>5.73015873</v>
      </c>
      <c r="EW24" s="124">
        <f>1+((EV24-MIN(team_ratings_sums))*(4)/(MAX(team_ratings_sums) - MIN(team_ratings_sums)))</f>
        <v>2.495652174</v>
      </c>
      <c r="EX24" s="116" t="str">
        <f t="shared" si="27"/>
        <v>35 - 54</v>
      </c>
      <c r="EY24" s="125">
        <f t="shared" si="28"/>
        <v>0.6849315068</v>
      </c>
      <c r="EZ24" s="116">
        <f t="shared" si="29"/>
        <v>2</v>
      </c>
      <c r="FA24" s="125">
        <f t="shared" si="30"/>
        <v>0.4520547945</v>
      </c>
      <c r="FB24" s="116">
        <f t="shared" si="31"/>
        <v>4</v>
      </c>
      <c r="FC24" s="125">
        <f t="shared" si="32"/>
        <v>0.1369863014</v>
      </c>
      <c r="FD24" s="116" t="str">
        <f t="shared" si="33"/>
        <v>No</v>
      </c>
      <c r="FE24" s="125">
        <f t="shared" si="34"/>
        <v>0.7534246575</v>
      </c>
      <c r="FF24" s="116" t="str">
        <f t="shared" ref="FF24:FH24" si="98">BJ24</f>
        <v>No</v>
      </c>
      <c r="FG24" s="116" t="str">
        <f t="shared" si="98"/>
        <v>No</v>
      </c>
      <c r="FH24" s="116" t="str">
        <f t="shared" si="98"/>
        <v>No</v>
      </c>
      <c r="FI24" s="112"/>
      <c r="FJ24" s="116" t="str">
        <f t="shared" si="36"/>
        <v>Recurring</v>
      </c>
      <c r="FK24" s="125">
        <f t="shared" si="37"/>
        <v>0.397260274</v>
      </c>
      <c r="FL24" s="116" t="str">
        <f t="shared" si="38"/>
        <v>B2C</v>
      </c>
      <c r="FM24" s="125">
        <f t="shared" si="39"/>
        <v>0.397260274</v>
      </c>
      <c r="FN24" s="116" t="str">
        <f t="shared" si="40"/>
        <v>Low</v>
      </c>
      <c r="FO24" s="125">
        <f t="shared" si="41"/>
        <v>0.4383561644</v>
      </c>
      <c r="FP24" s="116" t="str">
        <f t="shared" si="42"/>
        <v>Low</v>
      </c>
      <c r="FQ24" s="125">
        <f t="shared" si="43"/>
        <v>0.3561643836</v>
      </c>
      <c r="FR24" s="112"/>
      <c r="FS24" s="123">
        <f t="shared" si="44"/>
        <v>1</v>
      </c>
      <c r="FT24" s="123">
        <f t="shared" si="45"/>
        <v>1</v>
      </c>
      <c r="FU24" s="123">
        <f t="shared" si="46"/>
        <v>5</v>
      </c>
      <c r="FV24" s="123">
        <f t="shared" si="47"/>
        <v>3.2</v>
      </c>
      <c r="FW24" s="119">
        <f t="shared" si="48"/>
        <v>10.2</v>
      </c>
      <c r="FX24" s="115">
        <f>1+((FW24-MIN(performance_ratings_sums))*(4)/(MAX(performance_ratings_sums) - MIN(performance_ratings_sums)))</f>
        <v>2.308411215</v>
      </c>
      <c r="FY24" s="116" t="str">
        <f t="shared" si="49"/>
        <v>Pre-Revenue</v>
      </c>
      <c r="FZ24" s="126">
        <f t="shared" si="50"/>
        <v>0.2054794521</v>
      </c>
      <c r="GA24" s="112"/>
      <c r="GB24" s="127">
        <f t="shared" si="51"/>
        <v>1</v>
      </c>
      <c r="GC24" s="116" t="str">
        <f t="shared" si="52"/>
        <v>No</v>
      </c>
      <c r="GD24" s="126">
        <f t="shared" si="53"/>
        <v>0.7671232877</v>
      </c>
      <c r="GE24" s="126" t="str">
        <f t="shared" si="54"/>
        <v>Low</v>
      </c>
      <c r="GF24" s="126">
        <f t="shared" si="55"/>
        <v>0.5479452055</v>
      </c>
      <c r="GG24" s="126" t="str">
        <f t="shared" si="56"/>
        <v>High</v>
      </c>
      <c r="GH24" s="126">
        <f t="shared" si="57"/>
        <v>0.8082191781</v>
      </c>
      <c r="GI24" s="112"/>
      <c r="GJ24" s="116"/>
      <c r="GK24" s="119">
        <f t="shared" si="58"/>
        <v>12.80757216</v>
      </c>
      <c r="GL24" s="128">
        <f>1+((GK24-MIN(ratings_sums))*(4)/(MAX(ratings_sums) - MIN(ratings_sums)))</f>
        <v>2.722471226</v>
      </c>
    </row>
    <row r="25" ht="15.75" customHeight="1">
      <c r="A25" s="87" t="s">
        <v>427</v>
      </c>
      <c r="B25" s="88">
        <v>1759403.0</v>
      </c>
      <c r="C25" s="87" t="s">
        <v>652</v>
      </c>
      <c r="D25" s="147"/>
      <c r="E25" s="90" t="s">
        <v>369</v>
      </c>
      <c r="F25" s="91" t="s">
        <v>653</v>
      </c>
      <c r="G25" s="91" t="s">
        <v>654</v>
      </c>
      <c r="H25" s="92">
        <v>43913.0</v>
      </c>
      <c r="I25" s="87" t="s">
        <v>655</v>
      </c>
      <c r="J25" s="87" t="s">
        <v>652</v>
      </c>
      <c r="K25" s="90" t="s">
        <v>457</v>
      </c>
      <c r="L25" s="90" t="s">
        <v>390</v>
      </c>
      <c r="M25" s="90" t="s">
        <v>81</v>
      </c>
      <c r="N25" s="90" t="s">
        <v>82</v>
      </c>
      <c r="O25" s="90" t="s">
        <v>35</v>
      </c>
      <c r="P25" s="90"/>
      <c r="Q25" s="90" t="s">
        <v>121</v>
      </c>
      <c r="R25" s="93"/>
      <c r="S25" s="94"/>
      <c r="T25" s="96">
        <v>1.5E7</v>
      </c>
      <c r="U25" s="95"/>
      <c r="V25" s="129"/>
      <c r="W25" s="96" t="str">
        <f t="shared" si="3"/>
        <v/>
      </c>
      <c r="X25" s="98">
        <f t="shared" si="4"/>
        <v>15000000</v>
      </c>
      <c r="Y25" s="99" t="str">
        <f t="shared" si="5"/>
        <v>$14M - $16M</v>
      </c>
      <c r="Z25" s="90" t="s">
        <v>36</v>
      </c>
      <c r="AA25" s="90" t="s">
        <v>87</v>
      </c>
      <c r="AB25" s="90" t="s">
        <v>38</v>
      </c>
      <c r="AC25" s="90" t="s">
        <v>493</v>
      </c>
      <c r="AD25" s="90" t="s">
        <v>89</v>
      </c>
      <c r="AE25" s="100" t="s">
        <v>39</v>
      </c>
      <c r="AF25" s="90" t="s">
        <v>469</v>
      </c>
      <c r="AG25" s="101">
        <v>8.0E10</v>
      </c>
      <c r="AH25" s="97" t="str">
        <f t="shared" si="6"/>
        <v>$50B-$100B</v>
      </c>
      <c r="AI25" s="96">
        <v>9.1E9</v>
      </c>
      <c r="AJ25" s="97" t="str">
        <f t="shared" si="7"/>
        <v>$5B-$10B</v>
      </c>
      <c r="AK25" s="102">
        <v>0.078</v>
      </c>
      <c r="AL25" s="88" t="str">
        <f t="shared" si="8"/>
        <v>0%-10%</v>
      </c>
      <c r="AM25" s="88">
        <v>15.0</v>
      </c>
      <c r="AN25" s="100" t="s">
        <v>39</v>
      </c>
      <c r="AO25" s="90" t="s">
        <v>89</v>
      </c>
      <c r="AP25" s="90" t="s">
        <v>40</v>
      </c>
      <c r="AQ25" s="87" t="s">
        <v>89</v>
      </c>
      <c r="AR25" s="100" t="s">
        <v>39</v>
      </c>
      <c r="AS25" s="90" t="s">
        <v>469</v>
      </c>
      <c r="AT25" s="90" t="s">
        <v>469</v>
      </c>
      <c r="AU25" s="90" t="s">
        <v>493</v>
      </c>
      <c r="AV25" s="90" t="s">
        <v>493</v>
      </c>
      <c r="AW25" s="96">
        <v>0.0</v>
      </c>
      <c r="AX25" s="96" t="str">
        <f t="shared" si="9"/>
        <v>&lt; $10K</v>
      </c>
      <c r="AY25" s="96">
        <v>53663.0</v>
      </c>
      <c r="AZ25" s="101">
        <v>5000000.0</v>
      </c>
      <c r="BA25" s="103" t="str">
        <f t="shared" si="10"/>
        <v>$4M - $5M</v>
      </c>
      <c r="BB25" s="103">
        <f t="shared" si="11"/>
        <v>0.0107326</v>
      </c>
      <c r="BC25" s="103" t="str">
        <f t="shared" si="12"/>
        <v>&lt; 10%</v>
      </c>
      <c r="BD25" s="90" t="s">
        <v>124</v>
      </c>
      <c r="BE25" s="90"/>
      <c r="BF25" s="90" t="s">
        <v>469</v>
      </c>
      <c r="BG25" s="88">
        <v>0.0</v>
      </c>
      <c r="BH25" s="88">
        <v>3.0</v>
      </c>
      <c r="BI25" s="15" t="s">
        <v>493</v>
      </c>
      <c r="BJ25" s="90" t="s">
        <v>493</v>
      </c>
      <c r="BK25" s="90" t="s">
        <v>469</v>
      </c>
      <c r="BL25" s="90" t="s">
        <v>469</v>
      </c>
      <c r="BM25" s="88">
        <v>5.0</v>
      </c>
      <c r="BN25" s="88">
        <v>12.0</v>
      </c>
      <c r="BO25" s="88">
        <v>0.0</v>
      </c>
      <c r="BP25" s="88">
        <v>7.0</v>
      </c>
      <c r="BQ25" s="104"/>
      <c r="BR25" s="105">
        <v>0.0</v>
      </c>
      <c r="BS25" s="105">
        <v>1.0</v>
      </c>
      <c r="BT25" s="105">
        <v>0.0</v>
      </c>
      <c r="BU25" s="105">
        <v>66.0</v>
      </c>
      <c r="BV25" s="87" t="s">
        <v>469</v>
      </c>
      <c r="BW25" s="104"/>
      <c r="BX25" s="105">
        <v>0.0</v>
      </c>
      <c r="BY25" s="105">
        <v>0.0</v>
      </c>
      <c r="BZ25" s="105">
        <v>0.0</v>
      </c>
      <c r="CA25" s="105">
        <v>25.0</v>
      </c>
      <c r="CB25" s="87" t="s">
        <v>493</v>
      </c>
      <c r="CC25" s="104"/>
      <c r="CD25" s="105">
        <v>0.0</v>
      </c>
      <c r="CE25" s="105">
        <v>0.0</v>
      </c>
      <c r="CF25" s="105">
        <v>0.0</v>
      </c>
      <c r="CG25" s="105">
        <v>21.0</v>
      </c>
      <c r="CH25" s="87" t="s">
        <v>493</v>
      </c>
      <c r="CI25" s="104"/>
      <c r="CJ25" s="87"/>
      <c r="CK25" s="87"/>
      <c r="CL25" s="87"/>
      <c r="CM25" s="87"/>
      <c r="CN25" s="87"/>
      <c r="CO25" s="104"/>
      <c r="CP25" s="105"/>
      <c r="CQ25" s="105"/>
      <c r="CR25" s="105"/>
      <c r="CS25" s="105"/>
      <c r="CT25" s="87"/>
      <c r="CU25" s="104"/>
      <c r="CV25" s="105"/>
      <c r="CW25" s="105"/>
      <c r="CX25" s="105"/>
      <c r="CY25" s="105"/>
      <c r="CZ25" s="87"/>
      <c r="DA25" s="104"/>
      <c r="DB25" s="105"/>
      <c r="DC25" s="105"/>
      <c r="DD25" s="105"/>
      <c r="DE25" s="105"/>
      <c r="DF25" s="87"/>
      <c r="DG25" s="104"/>
      <c r="DH25" s="105"/>
      <c r="DI25" s="105"/>
      <c r="DJ25" s="105"/>
      <c r="DK25" s="105"/>
      <c r="DL25" s="87"/>
      <c r="DM25" s="104"/>
      <c r="DN25" s="105"/>
      <c r="DO25" s="105"/>
      <c r="DP25" s="105"/>
      <c r="DQ25" s="105"/>
      <c r="DR25" s="87"/>
      <c r="DS25" s="130"/>
      <c r="DT25" s="108"/>
      <c r="DU25" s="108"/>
      <c r="DW25" s="109"/>
      <c r="DX25" s="110">
        <f t="shared" si="13"/>
        <v>0</v>
      </c>
      <c r="DY25" s="111">
        <f t="shared" ref="DY25:DZ25" si="99">sum(BS25,BY25,CE25,CK25,CQ25,CW25,DC25,DI25,DO25)</f>
        <v>1</v>
      </c>
      <c r="DZ25" s="111">
        <f t="shared" si="99"/>
        <v>0</v>
      </c>
      <c r="EA25" s="110">
        <f t="shared" si="15"/>
        <v>37.33333333</v>
      </c>
      <c r="EB25" s="99" t="str">
        <f t="shared" si="16"/>
        <v>35 - 54</v>
      </c>
      <c r="EC25" s="112"/>
      <c r="ED25" s="113">
        <f t="shared" si="17"/>
        <v>3.5</v>
      </c>
      <c r="EE25" s="114" t="str">
        <f>IF(V25 &lt;&gt; "", 1+((V25-MIN(discount_rates))*(4)/(MAX(discount_rates) - MIN(discount_rates))), "")</f>
        <v/>
      </c>
      <c r="EF25" s="114" t="str">
        <f>IF(Q25="Debt", (1+((S25-MIN(interest_rates))*(4)/(MAX(interest_rates) - MIN(interest_rates)))), "")</f>
        <v/>
      </c>
      <c r="EG25" s="114" t="str">
        <f>IF(OR(Q25="Revenue Share", Q25="Profit Share"), (1+((R25-MIN(return_mutiples))*(4)/(MAX(return_mutiples) - MIN(return_mutiples)))), "")</f>
        <v/>
      </c>
      <c r="EH25" s="115">
        <f t="shared" si="18"/>
        <v>3.5</v>
      </c>
      <c r="EI25" s="116" t="str">
        <f t="shared" si="19"/>
        <v>Equity - Common</v>
      </c>
      <c r="EJ25" s="117">
        <f t="shared" si="20"/>
        <v>0.3287671233</v>
      </c>
      <c r="EK25" s="116" t="str">
        <f t="shared" si="21"/>
        <v>Growth</v>
      </c>
      <c r="EL25" s="112"/>
      <c r="EM25" s="118">
        <f t="shared" si="22"/>
        <v>3</v>
      </c>
      <c r="EN25" s="118">
        <f t="shared" si="23"/>
        <v>1.7</v>
      </c>
      <c r="EO25" s="119">
        <f t="shared" si="24"/>
        <v>4.7</v>
      </c>
      <c r="EP25" s="115">
        <f>1+((EO25-MIN(market_ratings_sums))*(4)/(MAX(market_ratings_sums) - MIN(market_ratings_sums)))</f>
        <v>2.403508772</v>
      </c>
      <c r="EQ25" s="116" t="str">
        <f t="shared" si="25"/>
        <v>No</v>
      </c>
      <c r="ER25" s="112"/>
      <c r="ES25" s="123">
        <f>1+((DX25-MIN(industry_experiences))*(4)/(MAX(industry_experiences) - MIN(industry_experiences)))</f>
        <v>1</v>
      </c>
      <c r="ET25" s="123">
        <f>1+((DY25-MIN(previous_startups))*(4)/(MAX(previous_startups) - MIN(previous_startups)))</f>
        <v>1.444444444</v>
      </c>
      <c r="EU25" s="123">
        <f>1+((DZ25-MIN(exits))*(4)/(MAX(exits) - MIN(exits)))</f>
        <v>1</v>
      </c>
      <c r="EV25" s="119">
        <f t="shared" si="26"/>
        <v>3.444444444</v>
      </c>
      <c r="EW25" s="124">
        <f>1+((EV25-MIN(team_ratings_sums))*(4)/(MAX(team_ratings_sums) - MIN(team_ratings_sums)))</f>
        <v>1.243478261</v>
      </c>
      <c r="EX25" s="116" t="str">
        <f t="shared" si="27"/>
        <v>35 - 54</v>
      </c>
      <c r="EY25" s="125">
        <f t="shared" si="28"/>
        <v>0.6849315068</v>
      </c>
      <c r="EZ25" s="116">
        <f t="shared" si="29"/>
        <v>3</v>
      </c>
      <c r="FA25" s="125">
        <f t="shared" si="30"/>
        <v>0.05479452055</v>
      </c>
      <c r="FB25" s="116">
        <f t="shared" si="31"/>
        <v>12</v>
      </c>
      <c r="FC25" s="125">
        <f t="shared" si="32"/>
        <v>0.01369863014</v>
      </c>
      <c r="FD25" s="116" t="str">
        <f t="shared" si="33"/>
        <v>Yes</v>
      </c>
      <c r="FE25" s="125">
        <f t="shared" si="34"/>
        <v>0.2465753425</v>
      </c>
      <c r="FF25" s="116" t="str">
        <f t="shared" ref="FF25:FH25" si="100">BJ25</f>
        <v>Yes</v>
      </c>
      <c r="FG25" s="116" t="str">
        <f t="shared" si="100"/>
        <v>No</v>
      </c>
      <c r="FH25" s="116" t="str">
        <f t="shared" si="100"/>
        <v>No</v>
      </c>
      <c r="FI25" s="112"/>
      <c r="FJ25" s="116" t="str">
        <f t="shared" si="36"/>
        <v>Transactional</v>
      </c>
      <c r="FK25" s="125">
        <f t="shared" si="37"/>
        <v>0.602739726</v>
      </c>
      <c r="FL25" s="116" t="str">
        <f t="shared" si="38"/>
        <v>B2C</v>
      </c>
      <c r="FM25" s="125">
        <f t="shared" si="39"/>
        <v>0.397260274</v>
      </c>
      <c r="FN25" s="116" t="str">
        <f t="shared" si="40"/>
        <v>Low</v>
      </c>
      <c r="FO25" s="125">
        <f t="shared" si="41"/>
        <v>0.4383561644</v>
      </c>
      <c r="FP25" s="116" t="str">
        <f t="shared" si="42"/>
        <v>High</v>
      </c>
      <c r="FQ25" s="125">
        <f t="shared" si="43"/>
        <v>0.6438356164</v>
      </c>
      <c r="FR25" s="112"/>
      <c r="FS25" s="123">
        <f t="shared" si="44"/>
        <v>5</v>
      </c>
      <c r="FT25" s="123">
        <f t="shared" si="45"/>
        <v>1</v>
      </c>
      <c r="FU25" s="123">
        <f t="shared" si="46"/>
        <v>5</v>
      </c>
      <c r="FV25" s="123">
        <f t="shared" si="47"/>
        <v>1.4</v>
      </c>
      <c r="FW25" s="119">
        <f t="shared" si="48"/>
        <v>12.4</v>
      </c>
      <c r="FX25" s="115">
        <f>1+((FW25-MIN(performance_ratings_sums))*(4)/(MAX(performance_ratings_sums) - MIN(performance_ratings_sums)))</f>
        <v>3.130841121</v>
      </c>
      <c r="FY25" s="116" t="str">
        <f t="shared" si="49"/>
        <v>Profitable</v>
      </c>
      <c r="FZ25" s="126">
        <f t="shared" si="50"/>
        <v>0.06849315068</v>
      </c>
      <c r="GA25" s="112"/>
      <c r="GB25" s="127">
        <f t="shared" si="51"/>
        <v>3</v>
      </c>
      <c r="GC25" s="116" t="str">
        <f t="shared" si="52"/>
        <v>No</v>
      </c>
      <c r="GD25" s="126">
        <f t="shared" si="53"/>
        <v>0.7671232877</v>
      </c>
      <c r="GE25" s="126" t="str">
        <f t="shared" si="54"/>
        <v>Low</v>
      </c>
      <c r="GF25" s="126">
        <f t="shared" si="55"/>
        <v>0.5479452055</v>
      </c>
      <c r="GG25" s="126" t="str">
        <f t="shared" si="56"/>
        <v>High</v>
      </c>
      <c r="GH25" s="126">
        <f t="shared" si="57"/>
        <v>0.8082191781</v>
      </c>
      <c r="GI25" s="112"/>
      <c r="GJ25" s="116"/>
      <c r="GK25" s="119">
        <f t="shared" si="58"/>
        <v>13.27782815</v>
      </c>
      <c r="GL25" s="128">
        <f>1+((GK25-MIN(ratings_sums))*(4)/(MAX(ratings_sums) - MIN(ratings_sums)))</f>
        <v>2.866764559</v>
      </c>
    </row>
    <row r="26" ht="15.75" customHeight="1">
      <c r="A26" s="87" t="s">
        <v>427</v>
      </c>
      <c r="B26" s="88">
        <v>1789874.0</v>
      </c>
      <c r="C26" s="87" t="s">
        <v>656</v>
      </c>
      <c r="D26" s="147"/>
      <c r="E26" s="90" t="s">
        <v>392</v>
      </c>
      <c r="F26" s="91" t="s">
        <v>657</v>
      </c>
      <c r="G26" s="91" t="s">
        <v>658</v>
      </c>
      <c r="H26" s="92">
        <v>43903.0</v>
      </c>
      <c r="I26" s="87" t="s">
        <v>659</v>
      </c>
      <c r="J26" s="87" t="s">
        <v>656</v>
      </c>
      <c r="K26" s="90" t="s">
        <v>487</v>
      </c>
      <c r="L26" s="90" t="s">
        <v>133</v>
      </c>
      <c r="M26" s="90" t="s">
        <v>31</v>
      </c>
      <c r="N26" s="90" t="s">
        <v>32</v>
      </c>
      <c r="O26" s="90" t="s">
        <v>35</v>
      </c>
      <c r="P26" s="90"/>
      <c r="Q26" s="90" t="s">
        <v>195</v>
      </c>
      <c r="R26" s="93"/>
      <c r="S26" s="94"/>
      <c r="T26" s="95"/>
      <c r="U26" s="96">
        <v>2400000.0</v>
      </c>
      <c r="V26" s="97">
        <v>0.2</v>
      </c>
      <c r="W26" s="96">
        <f t="shared" si="3"/>
        <v>1920000</v>
      </c>
      <c r="X26" s="98">
        <f t="shared" si="4"/>
        <v>1920000</v>
      </c>
      <c r="Y26" s="99" t="str">
        <f t="shared" si="5"/>
        <v>$1M - $2M</v>
      </c>
      <c r="Z26" s="90" t="s">
        <v>36</v>
      </c>
      <c r="AA26" s="90" t="s">
        <v>37</v>
      </c>
      <c r="AB26" s="100" t="s">
        <v>88</v>
      </c>
      <c r="AC26" s="90" t="s">
        <v>493</v>
      </c>
      <c r="AD26" s="90" t="s">
        <v>89</v>
      </c>
      <c r="AE26" s="90" t="s">
        <v>89</v>
      </c>
      <c r="AF26" s="90" t="s">
        <v>469</v>
      </c>
      <c r="AG26" s="101">
        <v>3.378E11</v>
      </c>
      <c r="AH26" s="97" t="str">
        <f t="shared" si="6"/>
        <v>$250B-$500B</v>
      </c>
      <c r="AI26" s="101">
        <v>1.1E10</v>
      </c>
      <c r="AJ26" s="97" t="str">
        <f t="shared" si="7"/>
        <v>$10B-$25B</v>
      </c>
      <c r="AK26" s="102">
        <v>0.229</v>
      </c>
      <c r="AL26" s="88" t="str">
        <f t="shared" si="8"/>
        <v>20%-30%</v>
      </c>
      <c r="AM26" s="88">
        <v>80.0</v>
      </c>
      <c r="AN26" s="90" t="s">
        <v>89</v>
      </c>
      <c r="AO26" s="90" t="s">
        <v>89</v>
      </c>
      <c r="AP26" s="90" t="s">
        <v>106</v>
      </c>
      <c r="AQ26" s="87" t="s">
        <v>89</v>
      </c>
      <c r="AR26" s="100" t="s">
        <v>39</v>
      </c>
      <c r="AS26" s="90" t="s">
        <v>469</v>
      </c>
      <c r="AT26" s="90" t="s">
        <v>469</v>
      </c>
      <c r="AU26" s="90" t="s">
        <v>493</v>
      </c>
      <c r="AV26" s="90" t="s">
        <v>493</v>
      </c>
      <c r="AW26" s="96">
        <v>26316.0</v>
      </c>
      <c r="AX26" s="96" t="str">
        <f t="shared" si="9"/>
        <v>$10K - $50K</v>
      </c>
      <c r="AY26" s="96">
        <v>2619.0</v>
      </c>
      <c r="AZ26" s="101">
        <v>0.0</v>
      </c>
      <c r="BA26" s="103" t="str">
        <f t="shared" si="10"/>
        <v>&lt; $10K</v>
      </c>
      <c r="BB26" s="103">
        <f t="shared" si="11"/>
        <v>1</v>
      </c>
      <c r="BC26" s="103" t="str">
        <f t="shared" si="12"/>
        <v>90% - 100%</v>
      </c>
      <c r="BD26" s="90" t="s">
        <v>107</v>
      </c>
      <c r="BE26" s="90"/>
      <c r="BF26" s="90" t="s">
        <v>469</v>
      </c>
      <c r="BG26" s="88">
        <v>0.0</v>
      </c>
      <c r="BH26" s="88">
        <v>1.0</v>
      </c>
      <c r="BI26" s="90" t="s">
        <v>469</v>
      </c>
      <c r="BJ26" s="90" t="s">
        <v>469</v>
      </c>
      <c r="BK26" s="90" t="s">
        <v>493</v>
      </c>
      <c r="BL26" s="90" t="s">
        <v>469</v>
      </c>
      <c r="BM26" s="88">
        <v>0.0</v>
      </c>
      <c r="BN26" s="88">
        <v>5.0</v>
      </c>
      <c r="BO26" s="88">
        <v>0.0</v>
      </c>
      <c r="BP26" s="88">
        <v>0.0</v>
      </c>
      <c r="BQ26" s="104"/>
      <c r="BR26" s="105">
        <v>0.0</v>
      </c>
      <c r="BS26" s="105">
        <v>0.0</v>
      </c>
      <c r="BT26" s="105">
        <v>0.0</v>
      </c>
      <c r="BU26" s="146">
        <v>42.0</v>
      </c>
      <c r="BV26" s="87" t="s">
        <v>469</v>
      </c>
      <c r="BW26" s="104"/>
      <c r="BX26" s="87"/>
      <c r="BY26" s="87"/>
      <c r="BZ26" s="87"/>
      <c r="CA26" s="87"/>
      <c r="CB26" s="87"/>
      <c r="CC26" s="104"/>
      <c r="CD26" s="87"/>
      <c r="CE26" s="87"/>
      <c r="CF26" s="87"/>
      <c r="CG26" s="87"/>
      <c r="CH26" s="87"/>
      <c r="CI26" s="104"/>
      <c r="CJ26" s="87"/>
      <c r="CK26" s="87"/>
      <c r="CL26" s="87"/>
      <c r="CM26" s="87"/>
      <c r="CN26" s="87"/>
      <c r="CO26" s="104"/>
      <c r="CP26" s="105"/>
      <c r="CQ26" s="105"/>
      <c r="CR26" s="105"/>
      <c r="CS26" s="105"/>
      <c r="CT26" s="87"/>
      <c r="CU26" s="104"/>
      <c r="CV26" s="105"/>
      <c r="CW26" s="105"/>
      <c r="CX26" s="105"/>
      <c r="CY26" s="105"/>
      <c r="CZ26" s="87"/>
      <c r="DA26" s="104"/>
      <c r="DB26" s="105"/>
      <c r="DC26" s="105"/>
      <c r="DD26" s="105"/>
      <c r="DE26" s="105"/>
      <c r="DF26" s="87"/>
      <c r="DG26" s="104"/>
      <c r="DH26" s="105"/>
      <c r="DI26" s="105"/>
      <c r="DJ26" s="105"/>
      <c r="DK26" s="105"/>
      <c r="DL26" s="87"/>
      <c r="DM26" s="104"/>
      <c r="DN26" s="105"/>
      <c r="DO26" s="105"/>
      <c r="DP26" s="105"/>
      <c r="DQ26" s="105"/>
      <c r="DR26" s="87"/>
      <c r="DS26" s="130"/>
      <c r="DT26" s="108"/>
      <c r="DU26" s="108"/>
      <c r="DW26" s="109"/>
      <c r="DX26" s="110">
        <f t="shared" si="13"/>
        <v>0</v>
      </c>
      <c r="DY26" s="111">
        <f t="shared" ref="DY26:DZ26" si="101">sum(BS26,BY26,CE26,CK26,CQ26,CW26,DC26,DI26,DO26)</f>
        <v>0</v>
      </c>
      <c r="DZ26" s="111">
        <f t="shared" si="101"/>
        <v>0</v>
      </c>
      <c r="EA26" s="110">
        <f t="shared" si="15"/>
        <v>42</v>
      </c>
      <c r="EB26" s="99" t="str">
        <f t="shared" si="16"/>
        <v>35 - 54</v>
      </c>
      <c r="EC26" s="112"/>
      <c r="ED26" s="113">
        <f t="shared" si="17"/>
        <v>4.8</v>
      </c>
      <c r="EE26" s="114">
        <f>IF(V26 &lt;&gt; "", 1+((V26-MIN(discount_rates))*(4)/(MAX(discount_rates) - MIN(discount_rates))), "")</f>
        <v>3.105263158</v>
      </c>
      <c r="EF26" s="114" t="str">
        <f>IF(Q26="Debt", (1+((S26-MIN(interest_rates))*(4)/(MAX(interest_rates) - MIN(interest_rates)))), "")</f>
        <v/>
      </c>
      <c r="EG26" s="114" t="str">
        <f>IF(OR(Q26="Revenue Share", Q26="Profit Share"), (1+((R26-MIN(return_mutiples))*(4)/(MAX(return_mutiples) - MIN(return_mutiples)))), "")</f>
        <v/>
      </c>
      <c r="EH26" s="115">
        <f t="shared" si="18"/>
        <v>4.8</v>
      </c>
      <c r="EI26" s="116" t="str">
        <f t="shared" si="19"/>
        <v>SAFE</v>
      </c>
      <c r="EJ26" s="117">
        <f t="shared" si="20"/>
        <v>0.3561643836</v>
      </c>
      <c r="EK26" s="116" t="str">
        <f t="shared" si="21"/>
        <v>Early</v>
      </c>
      <c r="EL26" s="112"/>
      <c r="EM26" s="118">
        <f t="shared" si="22"/>
        <v>3.3</v>
      </c>
      <c r="EN26" s="118">
        <f t="shared" si="23"/>
        <v>3</v>
      </c>
      <c r="EO26" s="119">
        <f t="shared" si="24"/>
        <v>6.3</v>
      </c>
      <c r="EP26" s="115">
        <f>1+((EO26-MIN(market_ratings_sums))*(4)/(MAX(market_ratings_sums) - MIN(market_ratings_sums)))</f>
        <v>3.526315789</v>
      </c>
      <c r="EQ26" s="116" t="str">
        <f t="shared" si="25"/>
        <v>No</v>
      </c>
      <c r="ER26" s="112"/>
      <c r="ES26" s="123">
        <f>1+((DX26-MIN(industry_experiences))*(4)/(MAX(industry_experiences) - MIN(industry_experiences)))</f>
        <v>1</v>
      </c>
      <c r="ET26" s="123">
        <f>1+((DY26-MIN(previous_startups))*(4)/(MAX(previous_startups) - MIN(previous_startups)))</f>
        <v>1</v>
      </c>
      <c r="EU26" s="123">
        <f>1+((DZ26-MIN(exits))*(4)/(MAX(exits) - MIN(exits)))</f>
        <v>1</v>
      </c>
      <c r="EV26" s="119">
        <f t="shared" si="26"/>
        <v>3</v>
      </c>
      <c r="EW26" s="124">
        <f>1+((EV26-MIN(team_ratings_sums))*(4)/(MAX(team_ratings_sums) - MIN(team_ratings_sums)))</f>
        <v>1</v>
      </c>
      <c r="EX26" s="116" t="str">
        <f t="shared" si="27"/>
        <v>35 - 54</v>
      </c>
      <c r="EY26" s="125">
        <f t="shared" si="28"/>
        <v>0.6849315068</v>
      </c>
      <c r="EZ26" s="116">
        <f t="shared" si="29"/>
        <v>1</v>
      </c>
      <c r="FA26" s="125">
        <f t="shared" si="30"/>
        <v>0.4383561644</v>
      </c>
      <c r="FB26" s="116">
        <f t="shared" si="31"/>
        <v>5</v>
      </c>
      <c r="FC26" s="125">
        <f t="shared" si="32"/>
        <v>0.1369863014</v>
      </c>
      <c r="FD26" s="116" t="str">
        <f t="shared" si="33"/>
        <v>No</v>
      </c>
      <c r="FE26" s="125">
        <f t="shared" si="34"/>
        <v>0.7534246575</v>
      </c>
      <c r="FF26" s="116" t="str">
        <f t="shared" ref="FF26:FH26" si="102">BJ26</f>
        <v>No</v>
      </c>
      <c r="FG26" s="116" t="str">
        <f t="shared" si="102"/>
        <v>Yes</v>
      </c>
      <c r="FH26" s="116" t="str">
        <f t="shared" si="102"/>
        <v>No</v>
      </c>
      <c r="FI26" s="112"/>
      <c r="FJ26" s="116" t="str">
        <f t="shared" si="36"/>
        <v>Transactional</v>
      </c>
      <c r="FK26" s="125">
        <f t="shared" si="37"/>
        <v>0.602739726</v>
      </c>
      <c r="FL26" s="116" t="str">
        <f t="shared" si="38"/>
        <v>B2B</v>
      </c>
      <c r="FM26" s="125">
        <f t="shared" si="39"/>
        <v>0.2465753425</v>
      </c>
      <c r="FN26" s="116" t="str">
        <f t="shared" si="40"/>
        <v>Low</v>
      </c>
      <c r="FO26" s="125">
        <f t="shared" si="41"/>
        <v>0.4383561644</v>
      </c>
      <c r="FP26" s="116" t="str">
        <f t="shared" si="42"/>
        <v>Low</v>
      </c>
      <c r="FQ26" s="125">
        <f t="shared" si="43"/>
        <v>0.3561643836</v>
      </c>
      <c r="FR26" s="112"/>
      <c r="FS26" s="123">
        <f t="shared" si="44"/>
        <v>5</v>
      </c>
      <c r="FT26" s="123">
        <f t="shared" si="45"/>
        <v>1.4</v>
      </c>
      <c r="FU26" s="123">
        <f t="shared" si="46"/>
        <v>1</v>
      </c>
      <c r="FV26" s="123">
        <f t="shared" si="47"/>
        <v>5</v>
      </c>
      <c r="FW26" s="119">
        <f t="shared" si="48"/>
        <v>12.4</v>
      </c>
      <c r="FX26" s="115">
        <f>1+((FW26-MIN(performance_ratings_sums))*(4)/(MAX(performance_ratings_sums) - MIN(performance_ratings_sums)))</f>
        <v>3.130841121</v>
      </c>
      <c r="FY26" s="116" t="str">
        <f t="shared" si="49"/>
        <v>Pre-Profit</v>
      </c>
      <c r="FZ26" s="126">
        <f t="shared" si="50"/>
        <v>0.4931506849</v>
      </c>
      <c r="GA26" s="112"/>
      <c r="GB26" s="127">
        <f t="shared" si="51"/>
        <v>1</v>
      </c>
      <c r="GC26" s="116" t="str">
        <f t="shared" si="52"/>
        <v>No</v>
      </c>
      <c r="GD26" s="126">
        <f t="shared" si="53"/>
        <v>0.7671232877</v>
      </c>
      <c r="GE26" s="126" t="str">
        <f t="shared" si="54"/>
        <v>Low</v>
      </c>
      <c r="GF26" s="126">
        <f t="shared" si="55"/>
        <v>0.5479452055</v>
      </c>
      <c r="GG26" s="126" t="str">
        <f t="shared" si="56"/>
        <v>High</v>
      </c>
      <c r="GH26" s="126">
        <f t="shared" si="57"/>
        <v>0.8082191781</v>
      </c>
      <c r="GI26" s="112"/>
      <c r="GJ26" s="116"/>
      <c r="GK26" s="119">
        <f t="shared" si="58"/>
        <v>13.45715691</v>
      </c>
      <c r="GL26" s="128">
        <f>1+((GK26-MIN(ratings_sums))*(4)/(MAX(ratings_sums) - MIN(ratings_sums)))</f>
        <v>2.921789789</v>
      </c>
    </row>
    <row r="27" ht="15.75" customHeight="1">
      <c r="A27" s="100" t="s">
        <v>427</v>
      </c>
      <c r="B27" s="149">
        <v>1776458.0</v>
      </c>
      <c r="C27" s="100" t="s">
        <v>660</v>
      </c>
      <c r="D27" s="147"/>
      <c r="E27" s="100" t="s">
        <v>392</v>
      </c>
      <c r="F27" s="150" t="s">
        <v>661</v>
      </c>
      <c r="G27" s="150" t="s">
        <v>662</v>
      </c>
      <c r="H27" s="151">
        <v>43879.0</v>
      </c>
      <c r="I27" s="100" t="s">
        <v>663</v>
      </c>
      <c r="J27" s="100" t="s">
        <v>660</v>
      </c>
      <c r="K27" s="100" t="s">
        <v>415</v>
      </c>
      <c r="L27" s="100" t="s">
        <v>355</v>
      </c>
      <c r="M27" s="100" t="s">
        <v>31</v>
      </c>
      <c r="N27" s="100" t="s">
        <v>32</v>
      </c>
      <c r="O27" s="100" t="s">
        <v>35</v>
      </c>
      <c r="P27" s="90"/>
      <c r="Q27" s="100" t="s">
        <v>84</v>
      </c>
      <c r="R27" s="93"/>
      <c r="S27" s="94"/>
      <c r="T27" s="95"/>
      <c r="U27" s="152">
        <v>2750000.0</v>
      </c>
      <c r="V27" s="153">
        <v>0.2</v>
      </c>
      <c r="W27" s="152">
        <v>2200000.0</v>
      </c>
      <c r="X27" s="154">
        <v>2200000.0</v>
      </c>
      <c r="Y27" s="155" t="s">
        <v>113</v>
      </c>
      <c r="Z27" s="100" t="s">
        <v>86</v>
      </c>
      <c r="AA27" s="100" t="s">
        <v>123</v>
      </c>
      <c r="AB27" s="100" t="s">
        <v>88</v>
      </c>
      <c r="AC27" s="100" t="s">
        <v>493</v>
      </c>
      <c r="AD27" s="100" t="s">
        <v>39</v>
      </c>
      <c r="AE27" s="100" t="s">
        <v>89</v>
      </c>
      <c r="AF27" s="100" t="s">
        <v>469</v>
      </c>
      <c r="AG27" s="156">
        <v>1.29E10</v>
      </c>
      <c r="AH27" s="149" t="s">
        <v>174</v>
      </c>
      <c r="AI27" s="156">
        <v>4.46E8</v>
      </c>
      <c r="AJ27" s="149" t="s">
        <v>319</v>
      </c>
      <c r="AK27" s="157">
        <v>0.16</v>
      </c>
      <c r="AL27" s="149" t="s">
        <v>112</v>
      </c>
      <c r="AM27" s="149">
        <v>7.0</v>
      </c>
      <c r="AN27" s="100" t="s">
        <v>89</v>
      </c>
      <c r="AO27" s="100" t="s">
        <v>39</v>
      </c>
      <c r="AP27" s="100" t="s">
        <v>106</v>
      </c>
      <c r="AQ27" s="100" t="s">
        <v>89</v>
      </c>
      <c r="AR27" s="100" t="s">
        <v>39</v>
      </c>
      <c r="AS27" s="100" t="s">
        <v>469</v>
      </c>
      <c r="AT27" s="100" t="s">
        <v>469</v>
      </c>
      <c r="AU27" s="100" t="s">
        <v>469</v>
      </c>
      <c r="AV27" s="100" t="s">
        <v>469</v>
      </c>
      <c r="AW27" s="152">
        <v>0.0</v>
      </c>
      <c r="AX27" s="152" t="s">
        <v>62</v>
      </c>
      <c r="AY27" s="152">
        <v>10852.0</v>
      </c>
      <c r="AZ27" s="156">
        <v>434179.0</v>
      </c>
      <c r="BA27" s="149" t="s">
        <v>70</v>
      </c>
      <c r="BB27" s="158">
        <v>0.025</v>
      </c>
      <c r="BC27" s="149" t="s">
        <v>76</v>
      </c>
      <c r="BD27" s="100" t="s">
        <v>91</v>
      </c>
      <c r="BE27" s="90"/>
      <c r="BF27" s="100" t="s">
        <v>493</v>
      </c>
      <c r="BG27" s="149">
        <v>2.0</v>
      </c>
      <c r="BH27" s="149">
        <v>2.0</v>
      </c>
      <c r="BI27" s="100" t="s">
        <v>469</v>
      </c>
      <c r="BJ27" s="100" t="s">
        <v>493</v>
      </c>
      <c r="BK27" s="100" t="s">
        <v>493</v>
      </c>
      <c r="BL27" s="100" t="s">
        <v>469</v>
      </c>
      <c r="BM27" s="149">
        <v>2.0</v>
      </c>
      <c r="BN27" s="149">
        <v>5.0</v>
      </c>
      <c r="BO27" s="149">
        <v>0.0</v>
      </c>
      <c r="BP27" s="149">
        <v>2.0</v>
      </c>
      <c r="BQ27" s="104"/>
      <c r="BR27" s="149">
        <v>2.0</v>
      </c>
      <c r="BS27" s="149">
        <v>3.0</v>
      </c>
      <c r="BT27" s="149">
        <v>0.0</v>
      </c>
      <c r="BU27" s="159">
        <v>42.0</v>
      </c>
      <c r="BV27" s="100" t="s">
        <v>469</v>
      </c>
      <c r="BW27" s="104"/>
      <c r="BX27" s="100">
        <v>0.0</v>
      </c>
      <c r="BY27" s="100">
        <v>3.0</v>
      </c>
      <c r="BZ27" s="100">
        <v>0.0</v>
      </c>
      <c r="CA27" s="87"/>
      <c r="CB27" s="100" t="s">
        <v>493</v>
      </c>
      <c r="CC27" s="104"/>
      <c r="CD27" s="87"/>
      <c r="CE27" s="87"/>
      <c r="CF27" s="87"/>
      <c r="CG27" s="87"/>
      <c r="CH27" s="87"/>
      <c r="CI27" s="104"/>
      <c r="CJ27" s="87"/>
      <c r="CK27" s="87"/>
      <c r="CL27" s="87"/>
      <c r="CM27" s="87"/>
      <c r="CN27" s="87"/>
      <c r="CO27" s="104"/>
      <c r="CP27" s="105"/>
      <c r="CQ27" s="105"/>
      <c r="CR27" s="105"/>
      <c r="CS27" s="105"/>
      <c r="CT27" s="87"/>
      <c r="CU27" s="104"/>
      <c r="CV27" s="105"/>
      <c r="CW27" s="105"/>
      <c r="CX27" s="105"/>
      <c r="CY27" s="105"/>
      <c r="CZ27" s="87"/>
      <c r="DA27" s="104"/>
      <c r="DB27" s="105"/>
      <c r="DC27" s="105"/>
      <c r="DD27" s="105"/>
      <c r="DE27" s="105"/>
      <c r="DF27" s="87"/>
      <c r="DG27" s="104"/>
      <c r="DH27" s="105"/>
      <c r="DI27" s="105"/>
      <c r="DJ27" s="105"/>
      <c r="DK27" s="105"/>
      <c r="DL27" s="87"/>
      <c r="DM27" s="104"/>
      <c r="DN27" s="105"/>
      <c r="DO27" s="105"/>
      <c r="DP27" s="105"/>
      <c r="DQ27" s="105"/>
      <c r="DR27" s="87"/>
      <c r="DS27" s="130"/>
      <c r="DT27" s="108"/>
      <c r="DU27" s="108"/>
      <c r="DW27" s="109"/>
      <c r="DX27" s="110">
        <f t="shared" si="13"/>
        <v>1</v>
      </c>
      <c r="DY27" s="111">
        <f t="shared" ref="DY27:DZ27" si="103">sum(BS27,BY27,CE27,CK27,CQ27,CW27,DC27,DI27,DO27)</f>
        <v>6</v>
      </c>
      <c r="DZ27" s="111">
        <f t="shared" si="103"/>
        <v>0</v>
      </c>
      <c r="EA27" s="110">
        <f t="shared" si="15"/>
        <v>42</v>
      </c>
      <c r="EB27" s="99" t="str">
        <f t="shared" si="16"/>
        <v>35 - 54</v>
      </c>
      <c r="EC27" s="112"/>
      <c r="ED27" s="113">
        <f t="shared" si="17"/>
        <v>4.6</v>
      </c>
      <c r="EE27" s="114">
        <f>IF(V27 &lt;&gt; "", 1+((V27-MIN(discount_rates))*(4)/(MAX(discount_rates) - MIN(discount_rates))), "")</f>
        <v>3.105263158</v>
      </c>
      <c r="EF27" s="114" t="str">
        <f>IF(Q27="Debt", (1+((S27-MIN(interest_rates))*(4)/(MAX(interest_rates) - MIN(interest_rates)))), "")</f>
        <v/>
      </c>
      <c r="EG27" s="114" t="str">
        <f>IF(OR(Q27="Revenue Share", Q27="Profit Share"), (1+((R27-MIN(return_mutiples))*(4)/(MAX(return_mutiples) - MIN(return_mutiples)))), "")</f>
        <v/>
      </c>
      <c r="EH27" s="115">
        <f t="shared" si="18"/>
        <v>4.6</v>
      </c>
      <c r="EI27" s="116" t="str">
        <f t="shared" si="19"/>
        <v>Convertible Note</v>
      </c>
      <c r="EJ27" s="117">
        <f t="shared" si="20"/>
        <v>0.1232876712</v>
      </c>
      <c r="EK27" s="116" t="str">
        <f t="shared" si="21"/>
        <v>Early</v>
      </c>
      <c r="EL27" s="112"/>
      <c r="EM27" s="118">
        <f t="shared" si="22"/>
        <v>2.1</v>
      </c>
      <c r="EN27" s="118">
        <f t="shared" si="23"/>
        <v>2.3</v>
      </c>
      <c r="EO27" s="119">
        <f t="shared" si="24"/>
        <v>4.4</v>
      </c>
      <c r="EP27" s="115">
        <f>1+((EO27-MIN(market_ratings_sums))*(4)/(MAX(market_ratings_sums) - MIN(market_ratings_sums)))</f>
        <v>2.192982456</v>
      </c>
      <c r="EQ27" s="116" t="str">
        <f t="shared" si="25"/>
        <v>No</v>
      </c>
      <c r="ER27" s="112"/>
      <c r="ES27" s="123">
        <f>1+((DX27-MIN(industry_experiences))*(4)/(MAX(industry_experiences) - MIN(industry_experiences)))</f>
        <v>1.095238095</v>
      </c>
      <c r="ET27" s="123">
        <f>1+((DY27-MIN(previous_startups))*(4)/(MAX(previous_startups) - MIN(previous_startups)))</f>
        <v>3.666666667</v>
      </c>
      <c r="EU27" s="123">
        <f>1+((DZ27-MIN(exits))*(4)/(MAX(exits) - MIN(exits)))</f>
        <v>1</v>
      </c>
      <c r="EV27" s="119">
        <f t="shared" si="26"/>
        <v>5.761904762</v>
      </c>
      <c r="EW27" s="124">
        <f>1+((EV27-MIN(team_ratings_sums))*(4)/(MAX(team_ratings_sums) - MIN(team_ratings_sums)))</f>
        <v>2.513043478</v>
      </c>
      <c r="EX27" s="116" t="str">
        <f t="shared" si="27"/>
        <v>35 - 54</v>
      </c>
      <c r="EY27" s="125">
        <f t="shared" si="28"/>
        <v>0.6849315068</v>
      </c>
      <c r="EZ27" s="116">
        <f t="shared" si="29"/>
        <v>2</v>
      </c>
      <c r="FA27" s="125">
        <f t="shared" si="30"/>
        <v>0.4520547945</v>
      </c>
      <c r="FB27" s="116">
        <f t="shared" si="31"/>
        <v>5</v>
      </c>
      <c r="FC27" s="125">
        <f t="shared" si="32"/>
        <v>0.1369863014</v>
      </c>
      <c r="FD27" s="116" t="str">
        <f t="shared" si="33"/>
        <v>No</v>
      </c>
      <c r="FE27" s="125">
        <f t="shared" si="34"/>
        <v>0.7534246575</v>
      </c>
      <c r="FF27" s="116" t="str">
        <f t="shared" ref="FF27:FH27" si="104">BJ27</f>
        <v>Yes</v>
      </c>
      <c r="FG27" s="116" t="str">
        <f t="shared" si="104"/>
        <v>Yes</v>
      </c>
      <c r="FH27" s="116" t="str">
        <f t="shared" si="104"/>
        <v>No</v>
      </c>
      <c r="FI27" s="112"/>
      <c r="FJ27" s="116" t="str">
        <f t="shared" si="36"/>
        <v>Recurring</v>
      </c>
      <c r="FK27" s="125">
        <f t="shared" si="37"/>
        <v>0.397260274</v>
      </c>
      <c r="FL27" s="116" t="str">
        <f t="shared" si="38"/>
        <v>B2B/B2C</v>
      </c>
      <c r="FM27" s="125">
        <f t="shared" si="39"/>
        <v>0.3287671233</v>
      </c>
      <c r="FN27" s="116" t="str">
        <f t="shared" si="40"/>
        <v>High</v>
      </c>
      <c r="FO27" s="125">
        <f t="shared" si="41"/>
        <v>0.5616438356</v>
      </c>
      <c r="FP27" s="116" t="str">
        <f t="shared" si="42"/>
        <v>Low</v>
      </c>
      <c r="FQ27" s="125">
        <f t="shared" si="43"/>
        <v>0.3561643836</v>
      </c>
      <c r="FR27" s="112"/>
      <c r="FS27" s="123">
        <f t="shared" si="44"/>
        <v>1</v>
      </c>
      <c r="FT27" s="123">
        <f t="shared" si="45"/>
        <v>1</v>
      </c>
      <c r="FU27" s="123">
        <f t="shared" si="46"/>
        <v>5</v>
      </c>
      <c r="FV27" s="123">
        <f t="shared" si="47"/>
        <v>3.7</v>
      </c>
      <c r="FW27" s="119">
        <f t="shared" si="48"/>
        <v>10.7</v>
      </c>
      <c r="FX27" s="115">
        <f>1+((FW27-MIN(performance_ratings_sums))*(4)/(MAX(performance_ratings_sums) - MIN(performance_ratings_sums)))</f>
        <v>2.495327103</v>
      </c>
      <c r="FY27" s="116" t="str">
        <f t="shared" si="49"/>
        <v>Pre-Revenue</v>
      </c>
      <c r="FZ27" s="126">
        <f t="shared" si="50"/>
        <v>0.2054794521</v>
      </c>
      <c r="GA27" s="112"/>
      <c r="GB27" s="127">
        <f t="shared" si="51"/>
        <v>3</v>
      </c>
      <c r="GC27" s="116" t="str">
        <f t="shared" si="52"/>
        <v>No</v>
      </c>
      <c r="GD27" s="126">
        <f t="shared" si="53"/>
        <v>0.7671232877</v>
      </c>
      <c r="GE27" s="126" t="str">
        <f t="shared" si="54"/>
        <v>Low</v>
      </c>
      <c r="GF27" s="126">
        <f t="shared" si="55"/>
        <v>0.5479452055</v>
      </c>
      <c r="GG27" s="126" t="str">
        <f t="shared" si="56"/>
        <v>High</v>
      </c>
      <c r="GH27" s="126">
        <f t="shared" si="57"/>
        <v>0.8082191781</v>
      </c>
      <c r="GI27" s="112"/>
      <c r="GJ27" s="116"/>
      <c r="GK27" s="119">
        <f t="shared" si="58"/>
        <v>14.80135304</v>
      </c>
      <c r="GL27" s="128">
        <f>1+((GK27-MIN(ratings_sums))*(4)/(MAX(ratings_sums) - MIN(ratings_sums)))</f>
        <v>3.334242885</v>
      </c>
    </row>
    <row r="28" ht="15.75" customHeight="1">
      <c r="A28" s="100" t="s">
        <v>427</v>
      </c>
      <c r="B28" s="149">
        <v>1804160.0</v>
      </c>
      <c r="C28" s="100" t="s">
        <v>664</v>
      </c>
      <c r="D28" s="147"/>
      <c r="E28" s="100" t="s">
        <v>392</v>
      </c>
      <c r="F28" s="150" t="s">
        <v>665</v>
      </c>
      <c r="G28" s="150" t="s">
        <v>666</v>
      </c>
      <c r="H28" s="151">
        <v>43909.0</v>
      </c>
      <c r="I28" s="100" t="s">
        <v>667</v>
      </c>
      <c r="J28" s="100" t="s">
        <v>664</v>
      </c>
      <c r="K28" s="100" t="s">
        <v>487</v>
      </c>
      <c r="L28" s="100" t="s">
        <v>349</v>
      </c>
      <c r="M28" s="100" t="s">
        <v>31</v>
      </c>
      <c r="N28" s="100" t="s">
        <v>82</v>
      </c>
      <c r="O28" s="100" t="s">
        <v>35</v>
      </c>
      <c r="P28" s="90"/>
      <c r="Q28" s="100" t="s">
        <v>121</v>
      </c>
      <c r="R28" s="93"/>
      <c r="S28" s="94"/>
      <c r="T28" s="160">
        <v>8000000.0</v>
      </c>
      <c r="U28" s="96"/>
      <c r="V28" s="97"/>
      <c r="W28" s="96"/>
      <c r="X28" s="154">
        <v>8000000.0</v>
      </c>
      <c r="Y28" s="155" t="s">
        <v>143</v>
      </c>
      <c r="Z28" s="100" t="s">
        <v>36</v>
      </c>
      <c r="AA28" s="100" t="s">
        <v>37</v>
      </c>
      <c r="AB28" s="100" t="s">
        <v>38</v>
      </c>
      <c r="AC28" s="100" t="s">
        <v>493</v>
      </c>
      <c r="AD28" s="100" t="s">
        <v>39</v>
      </c>
      <c r="AE28" s="100" t="s">
        <v>89</v>
      </c>
      <c r="AF28" s="100" t="s">
        <v>469</v>
      </c>
      <c r="AG28" s="156">
        <v>2.0E9</v>
      </c>
      <c r="AH28" s="149" t="s">
        <v>232</v>
      </c>
      <c r="AI28" s="156">
        <v>7.4E7</v>
      </c>
      <c r="AJ28" s="149" t="s">
        <v>337</v>
      </c>
      <c r="AK28" s="157">
        <v>0.095</v>
      </c>
      <c r="AL28" s="149" t="s">
        <v>95</v>
      </c>
      <c r="AM28" s="149">
        <v>0.0</v>
      </c>
      <c r="AN28" s="100" t="s">
        <v>39</v>
      </c>
      <c r="AO28" s="100" t="s">
        <v>39</v>
      </c>
      <c r="AP28" s="100" t="s">
        <v>90</v>
      </c>
      <c r="AQ28" s="100" t="s">
        <v>89</v>
      </c>
      <c r="AR28" s="100" t="s">
        <v>39</v>
      </c>
      <c r="AS28" s="100" t="s">
        <v>469</v>
      </c>
      <c r="AT28" s="100" t="s">
        <v>469</v>
      </c>
      <c r="AU28" s="100" t="s">
        <v>493</v>
      </c>
      <c r="AV28" s="100" t="s">
        <v>493</v>
      </c>
      <c r="AW28" s="152">
        <v>931839.0</v>
      </c>
      <c r="AX28" s="152" t="s">
        <v>71</v>
      </c>
      <c r="AY28" s="152">
        <v>51577.0</v>
      </c>
      <c r="AZ28" s="156">
        <v>1685000.0</v>
      </c>
      <c r="BA28" s="149" t="s">
        <v>72</v>
      </c>
      <c r="BB28" s="158">
        <v>0.0306</v>
      </c>
      <c r="BC28" s="149" t="s">
        <v>76</v>
      </c>
      <c r="BD28" s="100" t="s">
        <v>107</v>
      </c>
      <c r="BE28" s="90"/>
      <c r="BF28" s="100" t="s">
        <v>493</v>
      </c>
      <c r="BG28" s="149">
        <v>300.0</v>
      </c>
      <c r="BH28" s="149">
        <v>2.0</v>
      </c>
      <c r="BI28" s="100" t="s">
        <v>469</v>
      </c>
      <c r="BJ28" s="100" t="s">
        <v>469</v>
      </c>
      <c r="BK28" s="100" t="s">
        <v>469</v>
      </c>
      <c r="BL28" s="100" t="s">
        <v>469</v>
      </c>
      <c r="BM28" s="149">
        <v>2.0</v>
      </c>
      <c r="BN28" s="149">
        <v>66.0</v>
      </c>
      <c r="BO28" s="149">
        <v>0.0</v>
      </c>
      <c r="BP28" s="149">
        <v>1.0</v>
      </c>
      <c r="BQ28" s="104"/>
      <c r="BR28" s="149">
        <v>0.0</v>
      </c>
      <c r="BS28" s="149">
        <v>0.0</v>
      </c>
      <c r="BT28" s="149">
        <v>0.0</v>
      </c>
      <c r="BU28" s="159">
        <v>53.0</v>
      </c>
      <c r="BV28" s="100" t="s">
        <v>469</v>
      </c>
      <c r="BW28" s="104"/>
      <c r="BX28" s="100">
        <v>0.0</v>
      </c>
      <c r="BY28" s="100">
        <v>0.0</v>
      </c>
      <c r="BZ28" s="100">
        <v>0.0</v>
      </c>
      <c r="CA28" s="100">
        <v>33.0</v>
      </c>
      <c r="CB28" s="100" t="s">
        <v>469</v>
      </c>
      <c r="CC28" s="104"/>
      <c r="CD28" s="87"/>
      <c r="CE28" s="87"/>
      <c r="CF28" s="87"/>
      <c r="CG28" s="87"/>
      <c r="CH28" s="87"/>
      <c r="CI28" s="104"/>
      <c r="CJ28" s="87"/>
      <c r="CK28" s="87"/>
      <c r="CL28" s="87"/>
      <c r="CM28" s="87"/>
      <c r="CN28" s="87"/>
      <c r="CO28" s="104"/>
      <c r="CP28" s="105"/>
      <c r="CQ28" s="105"/>
      <c r="CR28" s="105"/>
      <c r="CS28" s="105"/>
      <c r="CT28" s="87"/>
      <c r="CU28" s="104"/>
      <c r="CV28" s="105"/>
      <c r="CW28" s="105"/>
      <c r="CX28" s="105"/>
      <c r="CY28" s="105"/>
      <c r="CZ28" s="87"/>
      <c r="DA28" s="104"/>
      <c r="DB28" s="105"/>
      <c r="DC28" s="105"/>
      <c r="DD28" s="105"/>
      <c r="DE28" s="105"/>
      <c r="DF28" s="87"/>
      <c r="DG28" s="104"/>
      <c r="DH28" s="105"/>
      <c r="DI28" s="105"/>
      <c r="DJ28" s="105"/>
      <c r="DK28" s="105"/>
      <c r="DL28" s="87"/>
      <c r="DM28" s="104"/>
      <c r="DN28" s="105"/>
      <c r="DO28" s="105"/>
      <c r="DP28" s="105"/>
      <c r="DQ28" s="105"/>
      <c r="DR28" s="87"/>
      <c r="DS28" s="130"/>
      <c r="DT28" s="108"/>
      <c r="DU28" s="108"/>
      <c r="DW28" s="109"/>
      <c r="DX28" s="110">
        <f t="shared" si="13"/>
        <v>0</v>
      </c>
      <c r="DY28" s="111">
        <f t="shared" ref="DY28:DZ28" si="105">sum(BS28,BY28,CE28,CK28,CQ28,CW28,DC28,DI28,DO28)</f>
        <v>0</v>
      </c>
      <c r="DZ28" s="111">
        <f t="shared" si="105"/>
        <v>0</v>
      </c>
      <c r="EA28" s="110">
        <f t="shared" si="15"/>
        <v>43</v>
      </c>
      <c r="EB28" s="99" t="str">
        <f t="shared" si="16"/>
        <v>35 - 54</v>
      </c>
      <c r="EC28" s="112"/>
      <c r="ED28" s="113">
        <f t="shared" si="17"/>
        <v>4.2</v>
      </c>
      <c r="EE28" s="114" t="str">
        <f>IF(V28 &lt;&gt; "", 1+((V28-MIN(discount_rates))*(4)/(MAX(discount_rates) - MIN(discount_rates))), "")</f>
        <v/>
      </c>
      <c r="EF28" s="114" t="str">
        <f>IF(Q28="Debt", (1+((S28-MIN(interest_rates))*(4)/(MAX(interest_rates) - MIN(interest_rates)))), "")</f>
        <v/>
      </c>
      <c r="EG28" s="114" t="str">
        <f>IF(OR(Q28="Revenue Share", Q28="Profit Share"), (1+((R28-MIN(return_mutiples))*(4)/(MAX(return_mutiples) - MIN(return_mutiples)))), "")</f>
        <v/>
      </c>
      <c r="EH28" s="115">
        <f t="shared" si="18"/>
        <v>4.2</v>
      </c>
      <c r="EI28" s="116" t="str">
        <f t="shared" si="19"/>
        <v>Equity - Common</v>
      </c>
      <c r="EJ28" s="117">
        <f t="shared" si="20"/>
        <v>0.3287671233</v>
      </c>
      <c r="EK28" s="116" t="str">
        <f t="shared" si="21"/>
        <v>Early</v>
      </c>
      <c r="EL28" s="112"/>
      <c r="EM28" s="118">
        <f t="shared" si="22"/>
        <v>1.6</v>
      </c>
      <c r="EN28" s="118">
        <f t="shared" si="23"/>
        <v>1.7</v>
      </c>
      <c r="EO28" s="119">
        <f t="shared" si="24"/>
        <v>3.3</v>
      </c>
      <c r="EP28" s="115">
        <f>1+((EO28-MIN(market_ratings_sums))*(4)/(MAX(market_ratings_sums) - MIN(market_ratings_sums)))</f>
        <v>1.421052632</v>
      </c>
      <c r="EQ28" s="116" t="str">
        <f t="shared" si="25"/>
        <v>No</v>
      </c>
      <c r="ER28" s="112"/>
      <c r="ES28" s="123">
        <f>1+((DX28-MIN(industry_experiences))*(4)/(MAX(industry_experiences) - MIN(industry_experiences)))</f>
        <v>1</v>
      </c>
      <c r="ET28" s="123">
        <f>1+((DY28-MIN(previous_startups))*(4)/(MAX(previous_startups) - MIN(previous_startups)))</f>
        <v>1</v>
      </c>
      <c r="EU28" s="123">
        <f>1+((DZ28-MIN(exits))*(4)/(MAX(exits) - MIN(exits)))</f>
        <v>1</v>
      </c>
      <c r="EV28" s="119">
        <f t="shared" si="26"/>
        <v>3</v>
      </c>
      <c r="EW28" s="124">
        <f>1+((EV28-MIN(team_ratings_sums))*(4)/(MAX(team_ratings_sums) - MIN(team_ratings_sums)))</f>
        <v>1</v>
      </c>
      <c r="EX28" s="116" t="str">
        <f t="shared" si="27"/>
        <v>35 - 54</v>
      </c>
      <c r="EY28" s="125">
        <f t="shared" si="28"/>
        <v>0.6849315068</v>
      </c>
      <c r="EZ28" s="116">
        <f t="shared" si="29"/>
        <v>2</v>
      </c>
      <c r="FA28" s="125">
        <f t="shared" si="30"/>
        <v>0.4520547945</v>
      </c>
      <c r="FB28" s="116">
        <f t="shared" si="31"/>
        <v>66</v>
      </c>
      <c r="FC28" s="125">
        <f t="shared" si="32"/>
        <v>0.01369863014</v>
      </c>
      <c r="FD28" s="116" t="str">
        <f t="shared" si="33"/>
        <v>No</v>
      </c>
      <c r="FE28" s="125">
        <f t="shared" si="34"/>
        <v>0.7534246575</v>
      </c>
      <c r="FF28" s="116" t="str">
        <f t="shared" ref="FF28:FH28" si="106">BJ28</f>
        <v>No</v>
      </c>
      <c r="FG28" s="116" t="str">
        <f t="shared" si="106"/>
        <v>No</v>
      </c>
      <c r="FH28" s="116" t="str">
        <f t="shared" si="106"/>
        <v>No</v>
      </c>
      <c r="FI28" s="112"/>
      <c r="FJ28" s="116" t="str">
        <f t="shared" si="36"/>
        <v>Transactional</v>
      </c>
      <c r="FK28" s="125">
        <f t="shared" si="37"/>
        <v>0.602739726</v>
      </c>
      <c r="FL28" s="116" t="str">
        <f t="shared" si="38"/>
        <v>B2B</v>
      </c>
      <c r="FM28" s="125">
        <f t="shared" si="39"/>
        <v>0.2465753425</v>
      </c>
      <c r="FN28" s="116" t="str">
        <f t="shared" si="40"/>
        <v>High</v>
      </c>
      <c r="FO28" s="125">
        <f t="shared" si="41"/>
        <v>0.5616438356</v>
      </c>
      <c r="FP28" s="116" t="str">
        <f t="shared" si="42"/>
        <v>Low</v>
      </c>
      <c r="FQ28" s="125">
        <f t="shared" si="43"/>
        <v>0.3561643836</v>
      </c>
      <c r="FR28" s="112"/>
      <c r="FS28" s="123">
        <f t="shared" si="44"/>
        <v>5</v>
      </c>
      <c r="FT28" s="123">
        <f t="shared" si="45"/>
        <v>2.8</v>
      </c>
      <c r="FU28" s="123">
        <f t="shared" si="46"/>
        <v>5</v>
      </c>
      <c r="FV28" s="123">
        <f t="shared" si="47"/>
        <v>2.8</v>
      </c>
      <c r="FW28" s="119">
        <f t="shared" si="48"/>
        <v>15.6</v>
      </c>
      <c r="FX28" s="115">
        <f>1+((FW28-MIN(performance_ratings_sums))*(4)/(MAX(performance_ratings_sums) - MIN(performance_ratings_sums)))</f>
        <v>4.327102804</v>
      </c>
      <c r="FY28" s="116" t="str">
        <f t="shared" si="49"/>
        <v>Pre-Profit</v>
      </c>
      <c r="FZ28" s="126">
        <f t="shared" si="50"/>
        <v>0.4931506849</v>
      </c>
      <c r="GA28" s="112"/>
      <c r="GB28" s="127">
        <f t="shared" si="51"/>
        <v>5</v>
      </c>
      <c r="GC28" s="116" t="str">
        <f t="shared" si="52"/>
        <v>No</v>
      </c>
      <c r="GD28" s="126">
        <f t="shared" si="53"/>
        <v>0.7671232877</v>
      </c>
      <c r="GE28" s="126" t="str">
        <f t="shared" si="54"/>
        <v>Low</v>
      </c>
      <c r="GF28" s="126">
        <f t="shared" si="55"/>
        <v>0.5479452055</v>
      </c>
      <c r="GG28" s="126" t="str">
        <f t="shared" si="56"/>
        <v>High</v>
      </c>
      <c r="GH28" s="126">
        <f t="shared" si="57"/>
        <v>0.8082191781</v>
      </c>
      <c r="GI28" s="112"/>
      <c r="GJ28" s="116"/>
      <c r="GK28" s="119">
        <f t="shared" si="58"/>
        <v>15.94815544</v>
      </c>
      <c r="GL28" s="128">
        <f>1+((GK28-MIN(ratings_sums))*(4)/(MAX(ratings_sums) - MIN(ratings_sums)))</f>
        <v>3.686127695</v>
      </c>
    </row>
    <row r="29" ht="15.75" customHeight="1">
      <c r="A29" s="100" t="s">
        <v>427</v>
      </c>
      <c r="B29" s="149">
        <v>1804004.0</v>
      </c>
      <c r="C29" s="100" t="s">
        <v>668</v>
      </c>
      <c r="D29" s="147"/>
      <c r="E29" s="100" t="s">
        <v>381</v>
      </c>
      <c r="F29" s="150" t="s">
        <v>669</v>
      </c>
      <c r="G29" s="150" t="s">
        <v>670</v>
      </c>
      <c r="H29" s="151">
        <v>43917.0</v>
      </c>
      <c r="I29" s="100" t="s">
        <v>671</v>
      </c>
      <c r="J29" s="100" t="s">
        <v>668</v>
      </c>
      <c r="K29" s="100" t="s">
        <v>422</v>
      </c>
      <c r="L29" s="100" t="s">
        <v>390</v>
      </c>
      <c r="M29" s="100" t="s">
        <v>31</v>
      </c>
      <c r="N29" s="100" t="s">
        <v>32</v>
      </c>
      <c r="O29" s="100" t="s">
        <v>35</v>
      </c>
      <c r="P29" s="90"/>
      <c r="Q29" s="100" t="s">
        <v>121</v>
      </c>
      <c r="R29" s="93"/>
      <c r="S29" s="94"/>
      <c r="T29" s="95"/>
      <c r="U29" s="152">
        <v>5500000.0</v>
      </c>
      <c r="V29" s="97"/>
      <c r="W29" s="152">
        <v>5500000.0</v>
      </c>
      <c r="X29" s="154">
        <v>5500000.0</v>
      </c>
      <c r="Y29" s="155" t="s">
        <v>130</v>
      </c>
      <c r="Z29" s="100" t="s">
        <v>86</v>
      </c>
      <c r="AA29" s="100" t="s">
        <v>87</v>
      </c>
      <c r="AB29" s="100" t="s">
        <v>38</v>
      </c>
      <c r="AC29" s="100" t="s">
        <v>469</v>
      </c>
      <c r="AD29" s="100" t="s">
        <v>89</v>
      </c>
      <c r="AE29" s="100" t="s">
        <v>39</v>
      </c>
      <c r="AF29" s="100" t="s">
        <v>469</v>
      </c>
      <c r="AG29" s="156">
        <v>8.6E9</v>
      </c>
      <c r="AH29" s="149" t="s">
        <v>199</v>
      </c>
      <c r="AI29" s="156">
        <v>2.0E9</v>
      </c>
      <c r="AJ29" s="149" t="s">
        <v>232</v>
      </c>
      <c r="AK29" s="157">
        <v>0.159</v>
      </c>
      <c r="AL29" s="149" t="s">
        <v>112</v>
      </c>
      <c r="AM29" s="149">
        <v>10.0</v>
      </c>
      <c r="AN29" s="100" t="s">
        <v>89</v>
      </c>
      <c r="AO29" s="100" t="s">
        <v>89</v>
      </c>
      <c r="AP29" s="100" t="s">
        <v>40</v>
      </c>
      <c r="AQ29" s="100" t="s">
        <v>89</v>
      </c>
      <c r="AR29" s="100" t="s">
        <v>39</v>
      </c>
      <c r="AS29" s="100" t="s">
        <v>493</v>
      </c>
      <c r="AT29" s="100" t="s">
        <v>493</v>
      </c>
      <c r="AU29" s="100" t="s">
        <v>493</v>
      </c>
      <c r="AV29" s="100" t="s">
        <v>493</v>
      </c>
      <c r="AW29" s="152">
        <v>266848.0</v>
      </c>
      <c r="AX29" s="152" t="s">
        <v>70</v>
      </c>
      <c r="AY29" s="152">
        <v>37415.0</v>
      </c>
      <c r="AZ29" s="156">
        <v>0.0</v>
      </c>
      <c r="BA29" s="149" t="s">
        <v>62</v>
      </c>
      <c r="BB29" s="158">
        <v>1.0</v>
      </c>
      <c r="BC29" s="149" t="s">
        <v>305</v>
      </c>
      <c r="BD29" s="100" t="s">
        <v>107</v>
      </c>
      <c r="BE29" s="90"/>
      <c r="BF29" s="100" t="s">
        <v>469</v>
      </c>
      <c r="BG29" s="149">
        <v>0.0</v>
      </c>
      <c r="BH29" s="149">
        <v>1.0</v>
      </c>
      <c r="BI29" s="100" t="s">
        <v>469</v>
      </c>
      <c r="BJ29" s="100" t="s">
        <v>469</v>
      </c>
      <c r="BK29" s="100" t="s">
        <v>469</v>
      </c>
      <c r="BL29" s="100" t="s">
        <v>469</v>
      </c>
      <c r="BM29" s="149">
        <v>1.0</v>
      </c>
      <c r="BN29" s="149">
        <v>8.0</v>
      </c>
      <c r="BO29" s="149">
        <v>1.0</v>
      </c>
      <c r="BP29" s="149">
        <v>0.0</v>
      </c>
      <c r="BQ29" s="104"/>
      <c r="BR29" s="149">
        <v>0.0</v>
      </c>
      <c r="BS29" s="149">
        <v>1.0</v>
      </c>
      <c r="BT29" s="149">
        <v>0.0</v>
      </c>
      <c r="BU29" s="159">
        <v>42.0</v>
      </c>
      <c r="BV29" s="100" t="s">
        <v>469</v>
      </c>
      <c r="BW29" s="104"/>
      <c r="BX29" s="87"/>
      <c r="BY29" s="87"/>
      <c r="BZ29" s="87"/>
      <c r="CA29" s="87"/>
      <c r="CB29" s="87"/>
      <c r="CC29" s="104"/>
      <c r="CD29" s="87"/>
      <c r="CE29" s="87"/>
      <c r="CF29" s="87"/>
      <c r="CG29" s="87"/>
      <c r="CH29" s="87"/>
      <c r="CI29" s="104"/>
      <c r="CJ29" s="87"/>
      <c r="CK29" s="87"/>
      <c r="CL29" s="87"/>
      <c r="CM29" s="87"/>
      <c r="CN29" s="87"/>
      <c r="CO29" s="104"/>
      <c r="CP29" s="105"/>
      <c r="CQ29" s="105"/>
      <c r="CR29" s="105"/>
      <c r="CS29" s="105"/>
      <c r="CT29" s="87"/>
      <c r="CU29" s="104"/>
      <c r="CV29" s="105"/>
      <c r="CW29" s="105"/>
      <c r="CX29" s="105"/>
      <c r="CY29" s="105"/>
      <c r="CZ29" s="87"/>
      <c r="DA29" s="104"/>
      <c r="DB29" s="105"/>
      <c r="DC29" s="105"/>
      <c r="DD29" s="105"/>
      <c r="DE29" s="105"/>
      <c r="DF29" s="87"/>
      <c r="DG29" s="104"/>
      <c r="DH29" s="105"/>
      <c r="DI29" s="105"/>
      <c r="DJ29" s="105"/>
      <c r="DK29" s="105"/>
      <c r="DL29" s="87"/>
      <c r="DM29" s="104"/>
      <c r="DN29" s="105"/>
      <c r="DO29" s="105"/>
      <c r="DP29" s="105"/>
      <c r="DQ29" s="105"/>
      <c r="DR29" s="87"/>
      <c r="DS29" s="130"/>
      <c r="DT29" s="108"/>
      <c r="DU29" s="108"/>
      <c r="DW29" s="109"/>
      <c r="DX29" s="110">
        <f t="shared" si="13"/>
        <v>0</v>
      </c>
      <c r="DY29" s="111">
        <f t="shared" ref="DY29:DZ29" si="107">sum(BS29,BY29,CE29,CK29,CQ29,CW29,DC29,DI29,DO29)</f>
        <v>1</v>
      </c>
      <c r="DZ29" s="111">
        <f t="shared" si="107"/>
        <v>0</v>
      </c>
      <c r="EA29" s="110">
        <f t="shared" si="15"/>
        <v>42</v>
      </c>
      <c r="EB29" s="99" t="str">
        <f t="shared" si="16"/>
        <v>35 - 54</v>
      </c>
      <c r="EC29" s="112"/>
      <c r="ED29" s="113">
        <f t="shared" si="17"/>
        <v>4.4</v>
      </c>
      <c r="EE29" s="114" t="str">
        <f>IF(V29 &lt;&gt; "", 1+((V29-MIN(discount_rates))*(4)/(MAX(discount_rates) - MIN(discount_rates))), "")</f>
        <v/>
      </c>
      <c r="EF29" s="114" t="str">
        <f>IF(Q29="Debt", (1+((S29-MIN(interest_rates))*(4)/(MAX(interest_rates) - MIN(interest_rates)))), "")</f>
        <v/>
      </c>
      <c r="EG29" s="114" t="str">
        <f>IF(OR(Q29="Revenue Share", Q29="Profit Share"), (1+((R29-MIN(return_mutiples))*(4)/(MAX(return_mutiples) - MIN(return_mutiples)))), "")</f>
        <v/>
      </c>
      <c r="EH29" s="115">
        <f t="shared" si="18"/>
        <v>4.4</v>
      </c>
      <c r="EI29" s="116" t="str">
        <f t="shared" si="19"/>
        <v>Equity - Common</v>
      </c>
      <c r="EJ29" s="117">
        <f t="shared" si="20"/>
        <v>0.3287671233</v>
      </c>
      <c r="EK29" s="116" t="str">
        <f t="shared" si="21"/>
        <v>Early</v>
      </c>
      <c r="EL29" s="112"/>
      <c r="EM29" s="118">
        <f t="shared" si="22"/>
        <v>2.7</v>
      </c>
      <c r="EN29" s="118">
        <f t="shared" si="23"/>
        <v>2.3</v>
      </c>
      <c r="EO29" s="119">
        <f t="shared" si="24"/>
        <v>5</v>
      </c>
      <c r="EP29" s="115">
        <f>1+((EO29-MIN(market_ratings_sums))*(4)/(MAX(market_ratings_sums) - MIN(market_ratings_sums)))</f>
        <v>2.614035088</v>
      </c>
      <c r="EQ29" s="116" t="str">
        <f t="shared" si="25"/>
        <v>Yes</v>
      </c>
      <c r="ER29" s="112"/>
      <c r="ES29" s="123">
        <f>1+((DX29-MIN(industry_experiences))*(4)/(MAX(industry_experiences) - MIN(industry_experiences)))</f>
        <v>1</v>
      </c>
      <c r="ET29" s="123">
        <f>1+((DY29-MIN(previous_startups))*(4)/(MAX(previous_startups) - MIN(previous_startups)))</f>
        <v>1.444444444</v>
      </c>
      <c r="EU29" s="123">
        <f>1+((DZ29-MIN(exits))*(4)/(MAX(exits) - MIN(exits)))</f>
        <v>1</v>
      </c>
      <c r="EV29" s="119">
        <f t="shared" si="26"/>
        <v>3.444444444</v>
      </c>
      <c r="EW29" s="124">
        <f>1+((EV29-MIN(team_ratings_sums))*(4)/(MAX(team_ratings_sums) - MIN(team_ratings_sums)))</f>
        <v>1.243478261</v>
      </c>
      <c r="EX29" s="116" t="str">
        <f t="shared" si="27"/>
        <v>35 - 54</v>
      </c>
      <c r="EY29" s="125">
        <f t="shared" si="28"/>
        <v>0.6849315068</v>
      </c>
      <c r="EZ29" s="116">
        <f t="shared" si="29"/>
        <v>1</v>
      </c>
      <c r="FA29" s="125">
        <f t="shared" si="30"/>
        <v>0.4383561644</v>
      </c>
      <c r="FB29" s="116">
        <f t="shared" si="31"/>
        <v>8</v>
      </c>
      <c r="FC29" s="125">
        <f t="shared" si="32"/>
        <v>0.05479452055</v>
      </c>
      <c r="FD29" s="116" t="str">
        <f t="shared" si="33"/>
        <v>No</v>
      </c>
      <c r="FE29" s="125">
        <f t="shared" si="34"/>
        <v>0.7534246575</v>
      </c>
      <c r="FF29" s="116" t="str">
        <f t="shared" ref="FF29:FH29" si="108">BJ29</f>
        <v>No</v>
      </c>
      <c r="FG29" s="116" t="str">
        <f t="shared" si="108"/>
        <v>No</v>
      </c>
      <c r="FH29" s="116" t="str">
        <f t="shared" si="108"/>
        <v>No</v>
      </c>
      <c r="FI29" s="112"/>
      <c r="FJ29" s="116" t="str">
        <f t="shared" si="36"/>
        <v>Recurring</v>
      </c>
      <c r="FK29" s="125">
        <f t="shared" si="37"/>
        <v>0.397260274</v>
      </c>
      <c r="FL29" s="116" t="str">
        <f t="shared" si="38"/>
        <v>B2C</v>
      </c>
      <c r="FM29" s="125">
        <f t="shared" si="39"/>
        <v>0.397260274</v>
      </c>
      <c r="FN29" s="116" t="str">
        <f t="shared" si="40"/>
        <v>Low</v>
      </c>
      <c r="FO29" s="125">
        <f t="shared" si="41"/>
        <v>0.4383561644</v>
      </c>
      <c r="FP29" s="116" t="str">
        <f t="shared" si="42"/>
        <v>High</v>
      </c>
      <c r="FQ29" s="125">
        <f t="shared" si="43"/>
        <v>0.6438356164</v>
      </c>
      <c r="FR29" s="112"/>
      <c r="FS29" s="123">
        <f t="shared" si="44"/>
        <v>5</v>
      </c>
      <c r="FT29" s="123">
        <f t="shared" si="45"/>
        <v>2.3</v>
      </c>
      <c r="FU29" s="123">
        <f t="shared" si="46"/>
        <v>1</v>
      </c>
      <c r="FV29" s="123">
        <f t="shared" si="47"/>
        <v>5</v>
      </c>
      <c r="FW29" s="119">
        <f t="shared" si="48"/>
        <v>13.3</v>
      </c>
      <c r="FX29" s="115">
        <f>1+((FW29-MIN(performance_ratings_sums))*(4)/(MAX(performance_ratings_sums) - MIN(performance_ratings_sums)))</f>
        <v>3.46728972</v>
      </c>
      <c r="FY29" s="116" t="str">
        <f t="shared" si="49"/>
        <v>Pre-Profit</v>
      </c>
      <c r="FZ29" s="126">
        <f t="shared" si="50"/>
        <v>0.4931506849</v>
      </c>
      <c r="GA29" s="112"/>
      <c r="GB29" s="127">
        <f t="shared" si="51"/>
        <v>1</v>
      </c>
      <c r="GC29" s="116" t="str">
        <f t="shared" si="52"/>
        <v>Yes</v>
      </c>
      <c r="GD29" s="126">
        <f t="shared" si="53"/>
        <v>0.2328767123</v>
      </c>
      <c r="GE29" s="126" t="str">
        <f t="shared" si="54"/>
        <v>Low</v>
      </c>
      <c r="GF29" s="126">
        <f t="shared" si="55"/>
        <v>0.5479452055</v>
      </c>
      <c r="GG29" s="126" t="str">
        <f t="shared" si="56"/>
        <v>High</v>
      </c>
      <c r="GH29" s="126">
        <f t="shared" si="57"/>
        <v>0.8082191781</v>
      </c>
      <c r="GI29" s="112"/>
      <c r="GJ29" s="116"/>
      <c r="GK29" s="119">
        <f t="shared" si="58"/>
        <v>12.72480307</v>
      </c>
      <c r="GL29" s="128">
        <f>1+((GK29-MIN(ratings_sums))*(4)/(MAX(ratings_sums) - MIN(ratings_sums)))</f>
        <v>2.69707436</v>
      </c>
    </row>
    <row r="30" ht="15.75" customHeight="1">
      <c r="A30" s="100" t="s">
        <v>427</v>
      </c>
      <c r="B30" s="149">
        <v>1808015.0</v>
      </c>
      <c r="C30" s="100" t="s">
        <v>672</v>
      </c>
      <c r="D30" s="147"/>
      <c r="E30" s="100" t="s">
        <v>350</v>
      </c>
      <c r="F30" s="150" t="s">
        <v>673</v>
      </c>
      <c r="G30" s="150" t="s">
        <v>674</v>
      </c>
      <c r="H30" s="151">
        <v>43928.0</v>
      </c>
      <c r="I30" s="100" t="s">
        <v>675</v>
      </c>
      <c r="J30" s="100" t="s">
        <v>672</v>
      </c>
      <c r="K30" s="100" t="s">
        <v>445</v>
      </c>
      <c r="L30" s="100" t="s">
        <v>221</v>
      </c>
      <c r="M30" s="100" t="s">
        <v>31</v>
      </c>
      <c r="N30" s="100" t="s">
        <v>32</v>
      </c>
      <c r="O30" s="100" t="s">
        <v>35</v>
      </c>
      <c r="P30" s="90"/>
      <c r="Q30" s="100" t="s">
        <v>121</v>
      </c>
      <c r="R30" s="93"/>
      <c r="S30" s="94"/>
      <c r="T30" s="95"/>
      <c r="U30" s="152">
        <v>1.0E7</v>
      </c>
      <c r="V30" s="97"/>
      <c r="W30" s="152">
        <v>1.0E7</v>
      </c>
      <c r="X30" s="154">
        <v>1.0E7</v>
      </c>
      <c r="Y30" s="155" t="s">
        <v>162</v>
      </c>
      <c r="Z30" s="100" t="s">
        <v>86</v>
      </c>
      <c r="AA30" s="100" t="s">
        <v>37</v>
      </c>
      <c r="AB30" s="100" t="s">
        <v>88</v>
      </c>
      <c r="AC30" s="100" t="s">
        <v>493</v>
      </c>
      <c r="AD30" s="100" t="s">
        <v>39</v>
      </c>
      <c r="AE30" s="100" t="s">
        <v>89</v>
      </c>
      <c r="AF30" s="100" t="s">
        <v>469</v>
      </c>
      <c r="AG30" s="156">
        <v>1.2766E11</v>
      </c>
      <c r="AH30" s="149" t="s">
        <v>127</v>
      </c>
      <c r="AI30" s="156">
        <v>3.0E9</v>
      </c>
      <c r="AJ30" s="149" t="s">
        <v>232</v>
      </c>
      <c r="AK30" s="157">
        <v>0.1152</v>
      </c>
      <c r="AL30" s="149" t="s">
        <v>112</v>
      </c>
      <c r="AM30" s="149">
        <v>25.0</v>
      </c>
      <c r="AN30" s="100" t="s">
        <v>89</v>
      </c>
      <c r="AO30" s="100" t="s">
        <v>89</v>
      </c>
      <c r="AP30" s="100" t="s">
        <v>106</v>
      </c>
      <c r="AQ30" s="100" t="s">
        <v>89</v>
      </c>
      <c r="AR30" s="100" t="s">
        <v>39</v>
      </c>
      <c r="AS30" s="100" t="s">
        <v>469</v>
      </c>
      <c r="AT30" s="100" t="s">
        <v>469</v>
      </c>
      <c r="AU30" s="100" t="s">
        <v>469</v>
      </c>
      <c r="AV30" s="100" t="s">
        <v>469</v>
      </c>
      <c r="AW30" s="152">
        <v>0.0</v>
      </c>
      <c r="AX30" s="152" t="s">
        <v>62</v>
      </c>
      <c r="AY30" s="152">
        <v>52766.0</v>
      </c>
      <c r="AZ30" s="156">
        <v>0.0</v>
      </c>
      <c r="BA30" s="149" t="s">
        <v>62</v>
      </c>
      <c r="BB30" s="158">
        <v>1.0</v>
      </c>
      <c r="BC30" s="149" t="s">
        <v>305</v>
      </c>
      <c r="BD30" s="100" t="s">
        <v>41</v>
      </c>
      <c r="BE30" s="90"/>
      <c r="BF30" s="100" t="s">
        <v>469</v>
      </c>
      <c r="BG30" s="149">
        <v>0.0</v>
      </c>
      <c r="BH30" s="149">
        <v>2.0</v>
      </c>
      <c r="BI30" s="100" t="s">
        <v>469</v>
      </c>
      <c r="BJ30" s="100" t="s">
        <v>493</v>
      </c>
      <c r="BK30" s="100" t="s">
        <v>469</v>
      </c>
      <c r="BL30" s="100" t="s">
        <v>469</v>
      </c>
      <c r="BM30" s="149">
        <v>2.0</v>
      </c>
      <c r="BN30" s="149">
        <v>4.0</v>
      </c>
      <c r="BO30" s="149">
        <v>0.0</v>
      </c>
      <c r="BP30" s="149">
        <v>0.0</v>
      </c>
      <c r="BQ30" s="104"/>
      <c r="BR30" s="149">
        <v>17.0</v>
      </c>
      <c r="BS30" s="149">
        <v>0.0</v>
      </c>
      <c r="BT30" s="149">
        <v>0.0</v>
      </c>
      <c r="BU30" s="159">
        <v>40.0</v>
      </c>
      <c r="BV30" s="100" t="s">
        <v>493</v>
      </c>
      <c r="BW30" s="104"/>
      <c r="BX30" s="100">
        <v>11.0</v>
      </c>
      <c r="BY30" s="100">
        <v>0.0</v>
      </c>
      <c r="BZ30" s="100">
        <v>0.0</v>
      </c>
      <c r="CA30" s="87"/>
      <c r="CB30" s="100" t="s">
        <v>469</v>
      </c>
      <c r="CC30" s="104"/>
      <c r="CD30" s="87"/>
      <c r="CE30" s="87"/>
      <c r="CF30" s="87"/>
      <c r="CG30" s="87"/>
      <c r="CH30" s="87"/>
      <c r="CI30" s="104"/>
      <c r="CJ30" s="87"/>
      <c r="CK30" s="87"/>
      <c r="CL30" s="87"/>
      <c r="CM30" s="87"/>
      <c r="CN30" s="87"/>
      <c r="CO30" s="104"/>
      <c r="CP30" s="105"/>
      <c r="CQ30" s="105"/>
      <c r="CR30" s="105"/>
      <c r="CS30" s="105"/>
      <c r="CT30" s="87"/>
      <c r="CU30" s="104"/>
      <c r="CV30" s="105"/>
      <c r="CW30" s="105"/>
      <c r="CX30" s="105"/>
      <c r="CY30" s="105"/>
      <c r="CZ30" s="87"/>
      <c r="DA30" s="104"/>
      <c r="DB30" s="105"/>
      <c r="DC30" s="105"/>
      <c r="DD30" s="105"/>
      <c r="DE30" s="105"/>
      <c r="DF30" s="87"/>
      <c r="DG30" s="104"/>
      <c r="DH30" s="105"/>
      <c r="DI30" s="105"/>
      <c r="DJ30" s="105"/>
      <c r="DK30" s="105"/>
      <c r="DL30" s="87"/>
      <c r="DM30" s="104"/>
      <c r="DN30" s="105"/>
      <c r="DO30" s="105"/>
      <c r="DP30" s="105"/>
      <c r="DQ30" s="105"/>
      <c r="DR30" s="87"/>
      <c r="DS30" s="130"/>
      <c r="DT30" s="108"/>
      <c r="DU30" s="108"/>
      <c r="DW30" s="109"/>
      <c r="DX30" s="110">
        <f t="shared" si="13"/>
        <v>14</v>
      </c>
      <c r="DY30" s="111">
        <f t="shared" ref="DY30:DZ30" si="109">sum(BS30,BY30,CE30,CK30,CQ30,CW30,DC30,DI30,DO30)</f>
        <v>0</v>
      </c>
      <c r="DZ30" s="111">
        <f t="shared" si="109"/>
        <v>0</v>
      </c>
      <c r="EA30" s="110">
        <f t="shared" si="15"/>
        <v>40</v>
      </c>
      <c r="EB30" s="99" t="str">
        <f t="shared" si="16"/>
        <v>35 - 54</v>
      </c>
      <c r="EC30" s="112"/>
      <c r="ED30" s="113">
        <f t="shared" si="17"/>
        <v>4</v>
      </c>
      <c r="EE30" s="114" t="str">
        <f>IF(V30 &lt;&gt; "", 1+((V30-MIN(discount_rates))*(4)/(MAX(discount_rates) - MIN(discount_rates))), "")</f>
        <v/>
      </c>
      <c r="EF30" s="114" t="str">
        <f>IF(Q30="Debt", (1+((S30-MIN(interest_rates))*(4)/(MAX(interest_rates) - MIN(interest_rates)))), "")</f>
        <v/>
      </c>
      <c r="EG30" s="114" t="str">
        <f>IF(OR(Q30="Revenue Share", Q30="Profit Share"), (1+((R30-MIN(return_mutiples))*(4)/(MAX(return_mutiples) - MIN(return_mutiples)))), "")</f>
        <v/>
      </c>
      <c r="EH30" s="115">
        <f t="shared" si="18"/>
        <v>4</v>
      </c>
      <c r="EI30" s="116" t="str">
        <f t="shared" si="19"/>
        <v>Equity - Common</v>
      </c>
      <c r="EJ30" s="117">
        <f t="shared" si="20"/>
        <v>0.3287671233</v>
      </c>
      <c r="EK30" s="116" t="str">
        <f t="shared" si="21"/>
        <v>Early</v>
      </c>
      <c r="EL30" s="112"/>
      <c r="EM30" s="118">
        <f t="shared" si="22"/>
        <v>2.7</v>
      </c>
      <c r="EN30" s="118">
        <f t="shared" si="23"/>
        <v>2.3</v>
      </c>
      <c r="EO30" s="119">
        <f t="shared" si="24"/>
        <v>5</v>
      </c>
      <c r="EP30" s="115">
        <f>1+((EO30-MIN(market_ratings_sums))*(4)/(MAX(market_ratings_sums) - MIN(market_ratings_sums)))</f>
        <v>2.614035088</v>
      </c>
      <c r="EQ30" s="116" t="str">
        <f t="shared" si="25"/>
        <v>No</v>
      </c>
      <c r="ER30" s="112"/>
      <c r="ES30" s="123">
        <f>1+((DX30-MIN(industry_experiences))*(4)/(MAX(industry_experiences) - MIN(industry_experiences)))</f>
        <v>2.333333333</v>
      </c>
      <c r="ET30" s="123">
        <f>1+((DY30-MIN(previous_startups))*(4)/(MAX(previous_startups) - MIN(previous_startups)))</f>
        <v>1</v>
      </c>
      <c r="EU30" s="123">
        <f>1+((DZ30-MIN(exits))*(4)/(MAX(exits) - MIN(exits)))</f>
        <v>1</v>
      </c>
      <c r="EV30" s="119">
        <f t="shared" si="26"/>
        <v>4.333333333</v>
      </c>
      <c r="EW30" s="124">
        <f>1+((EV30-MIN(team_ratings_sums))*(4)/(MAX(team_ratings_sums) - MIN(team_ratings_sums)))</f>
        <v>1.730434783</v>
      </c>
      <c r="EX30" s="116" t="str">
        <f t="shared" si="27"/>
        <v>35 - 54</v>
      </c>
      <c r="EY30" s="125">
        <f t="shared" si="28"/>
        <v>0.6849315068</v>
      </c>
      <c r="EZ30" s="116">
        <f t="shared" si="29"/>
        <v>2</v>
      </c>
      <c r="FA30" s="125">
        <f t="shared" si="30"/>
        <v>0.4520547945</v>
      </c>
      <c r="FB30" s="116">
        <f t="shared" si="31"/>
        <v>4</v>
      </c>
      <c r="FC30" s="125">
        <f t="shared" si="32"/>
        <v>0.1369863014</v>
      </c>
      <c r="FD30" s="116" t="str">
        <f t="shared" si="33"/>
        <v>No</v>
      </c>
      <c r="FE30" s="125">
        <f t="shared" si="34"/>
        <v>0.7534246575</v>
      </c>
      <c r="FF30" s="116" t="str">
        <f t="shared" ref="FF30:FH30" si="110">BJ30</f>
        <v>Yes</v>
      </c>
      <c r="FG30" s="116" t="str">
        <f t="shared" si="110"/>
        <v>No</v>
      </c>
      <c r="FH30" s="116" t="str">
        <f t="shared" si="110"/>
        <v>No</v>
      </c>
      <c r="FI30" s="112"/>
      <c r="FJ30" s="116" t="str">
        <f t="shared" si="36"/>
        <v>Recurring</v>
      </c>
      <c r="FK30" s="125">
        <f t="shared" si="37"/>
        <v>0.397260274</v>
      </c>
      <c r="FL30" s="116" t="str">
        <f t="shared" si="38"/>
        <v>B2B</v>
      </c>
      <c r="FM30" s="125">
        <f t="shared" si="39"/>
        <v>0.2465753425</v>
      </c>
      <c r="FN30" s="116" t="str">
        <f t="shared" si="40"/>
        <v>High</v>
      </c>
      <c r="FO30" s="125">
        <f t="shared" si="41"/>
        <v>0.5616438356</v>
      </c>
      <c r="FP30" s="116" t="str">
        <f t="shared" si="42"/>
        <v>Low</v>
      </c>
      <c r="FQ30" s="125">
        <f t="shared" si="43"/>
        <v>0.3561643836</v>
      </c>
      <c r="FR30" s="112"/>
      <c r="FS30" s="123">
        <f t="shared" si="44"/>
        <v>1</v>
      </c>
      <c r="FT30" s="123">
        <f t="shared" si="45"/>
        <v>1</v>
      </c>
      <c r="FU30" s="123">
        <f t="shared" si="46"/>
        <v>1</v>
      </c>
      <c r="FV30" s="123">
        <f t="shared" si="47"/>
        <v>5</v>
      </c>
      <c r="FW30" s="119">
        <f t="shared" si="48"/>
        <v>8</v>
      </c>
      <c r="FX30" s="115">
        <f>1+((FW30-MIN(performance_ratings_sums))*(4)/(MAX(performance_ratings_sums) - MIN(performance_ratings_sums)))</f>
        <v>1.485981308</v>
      </c>
      <c r="FY30" s="116" t="str">
        <f t="shared" si="49"/>
        <v>Pre-Product</v>
      </c>
      <c r="FZ30" s="126">
        <f t="shared" si="50"/>
        <v>0.2328767123</v>
      </c>
      <c r="GA30" s="112"/>
      <c r="GB30" s="127">
        <f t="shared" si="51"/>
        <v>1</v>
      </c>
      <c r="GC30" s="116" t="str">
        <f t="shared" si="52"/>
        <v>No</v>
      </c>
      <c r="GD30" s="126">
        <f t="shared" si="53"/>
        <v>0.7671232877</v>
      </c>
      <c r="GE30" s="126" t="str">
        <f t="shared" si="54"/>
        <v>Low</v>
      </c>
      <c r="GF30" s="126">
        <f t="shared" si="55"/>
        <v>0.5479452055</v>
      </c>
      <c r="GG30" s="126" t="str">
        <f t="shared" si="56"/>
        <v>High</v>
      </c>
      <c r="GH30" s="126">
        <f t="shared" si="57"/>
        <v>0.8082191781</v>
      </c>
      <c r="GI30" s="112"/>
      <c r="GJ30" s="116"/>
      <c r="GK30" s="119">
        <f t="shared" si="58"/>
        <v>10.83045118</v>
      </c>
      <c r="GL30" s="128">
        <f>1+((GK30-MIN(ratings_sums))*(4)/(MAX(ratings_sums) - MIN(ratings_sums)))</f>
        <v>2.115811488</v>
      </c>
    </row>
    <row r="31" ht="15.75" customHeight="1">
      <c r="A31" s="100" t="s">
        <v>427</v>
      </c>
      <c r="B31" s="149">
        <v>1738026.0</v>
      </c>
      <c r="C31" s="100" t="s">
        <v>676</v>
      </c>
      <c r="D31" s="147"/>
      <c r="E31" s="100" t="s">
        <v>369</v>
      </c>
      <c r="F31" s="150" t="s">
        <v>677</v>
      </c>
      <c r="G31" s="150" t="s">
        <v>678</v>
      </c>
      <c r="H31" s="151">
        <v>43930.0</v>
      </c>
      <c r="I31" s="100" t="s">
        <v>679</v>
      </c>
      <c r="J31" s="100" t="s">
        <v>680</v>
      </c>
      <c r="K31" s="100" t="s">
        <v>422</v>
      </c>
      <c r="L31" s="100" t="s">
        <v>390</v>
      </c>
      <c r="M31" s="100" t="s">
        <v>81</v>
      </c>
      <c r="N31" s="100" t="s">
        <v>82</v>
      </c>
      <c r="O31" s="100" t="s">
        <v>35</v>
      </c>
      <c r="P31" s="90"/>
      <c r="Q31" s="100" t="s">
        <v>195</v>
      </c>
      <c r="R31" s="93"/>
      <c r="S31" s="94"/>
      <c r="T31" s="95"/>
      <c r="U31" s="152">
        <v>9000000.0</v>
      </c>
      <c r="V31" s="153">
        <v>0.0</v>
      </c>
      <c r="W31" s="152">
        <v>9000000.0</v>
      </c>
      <c r="X31" s="154">
        <v>9000000.0</v>
      </c>
      <c r="Y31" s="155" t="s">
        <v>162</v>
      </c>
      <c r="Z31" s="100" t="s">
        <v>36</v>
      </c>
      <c r="AA31" s="100" t="s">
        <v>123</v>
      </c>
      <c r="AB31" s="100" t="s">
        <v>38</v>
      </c>
      <c r="AC31" s="100" t="s">
        <v>469</v>
      </c>
      <c r="AD31" s="100" t="s">
        <v>39</v>
      </c>
      <c r="AE31" s="100" t="s">
        <v>39</v>
      </c>
      <c r="AF31" s="100" t="s">
        <v>469</v>
      </c>
      <c r="AG31" s="156">
        <v>2.4E9</v>
      </c>
      <c r="AH31" s="149" t="s">
        <v>232</v>
      </c>
      <c r="AI31" s="156">
        <v>2.6E7</v>
      </c>
      <c r="AJ31" s="149" t="s">
        <v>344</v>
      </c>
      <c r="AK31" s="157">
        <v>0.15</v>
      </c>
      <c r="AL31" s="149" t="s">
        <v>112</v>
      </c>
      <c r="AM31" s="149">
        <v>3.0</v>
      </c>
      <c r="AN31" s="100" t="s">
        <v>39</v>
      </c>
      <c r="AO31" s="100" t="s">
        <v>89</v>
      </c>
      <c r="AP31" s="100" t="s">
        <v>90</v>
      </c>
      <c r="AQ31" s="100" t="s">
        <v>39</v>
      </c>
      <c r="AR31" s="100" t="s">
        <v>89</v>
      </c>
      <c r="AS31" s="100" t="s">
        <v>493</v>
      </c>
      <c r="AT31" s="100" t="s">
        <v>493</v>
      </c>
      <c r="AU31" s="100" t="s">
        <v>493</v>
      </c>
      <c r="AV31" s="100" t="s">
        <v>493</v>
      </c>
      <c r="AW31" s="152">
        <v>238234.0</v>
      </c>
      <c r="AX31" s="152" t="s">
        <v>70</v>
      </c>
      <c r="AY31" s="152">
        <v>37509.0</v>
      </c>
      <c r="AZ31" s="156">
        <v>1125000.0</v>
      </c>
      <c r="BA31" s="149" t="s">
        <v>72</v>
      </c>
      <c r="BB31" s="158">
        <v>0.0333</v>
      </c>
      <c r="BC31" s="149" t="s">
        <v>76</v>
      </c>
      <c r="BD31" s="100" t="s">
        <v>107</v>
      </c>
      <c r="BE31" s="90"/>
      <c r="BF31" s="100" t="s">
        <v>493</v>
      </c>
      <c r="BG31" s="149">
        <v>76.0</v>
      </c>
      <c r="BH31" s="149">
        <v>2.0</v>
      </c>
      <c r="BI31" s="100" t="s">
        <v>469</v>
      </c>
      <c r="BJ31" s="100" t="s">
        <v>469</v>
      </c>
      <c r="BK31" s="100" t="s">
        <v>469</v>
      </c>
      <c r="BL31" s="100" t="s">
        <v>469</v>
      </c>
      <c r="BM31" s="149">
        <v>2.0</v>
      </c>
      <c r="BN31" s="149">
        <v>8.0</v>
      </c>
      <c r="BO31" s="149">
        <v>0.0</v>
      </c>
      <c r="BP31" s="149">
        <v>1.0</v>
      </c>
      <c r="BQ31" s="104"/>
      <c r="BR31" s="149">
        <v>0.0</v>
      </c>
      <c r="BS31" s="149">
        <v>1.0</v>
      </c>
      <c r="BT31" s="149">
        <v>0.0</v>
      </c>
      <c r="BU31" s="159">
        <v>55.0</v>
      </c>
      <c r="BV31" s="100" t="s">
        <v>493</v>
      </c>
      <c r="BW31" s="104"/>
      <c r="BX31" s="100">
        <v>0.0</v>
      </c>
      <c r="BY31" s="100">
        <v>0.0</v>
      </c>
      <c r="BZ31" s="100">
        <v>0.0</v>
      </c>
      <c r="CA31" s="87"/>
      <c r="CB31" s="87"/>
      <c r="CC31" s="104"/>
      <c r="CD31" s="87"/>
      <c r="CE31" s="87"/>
      <c r="CF31" s="87"/>
      <c r="CG31" s="87"/>
      <c r="CH31" s="87"/>
      <c r="CI31" s="104"/>
      <c r="CJ31" s="87"/>
      <c r="CK31" s="87"/>
      <c r="CL31" s="87"/>
      <c r="CM31" s="87"/>
      <c r="CN31" s="87"/>
      <c r="CO31" s="104"/>
      <c r="CP31" s="105"/>
      <c r="CQ31" s="105"/>
      <c r="CR31" s="105"/>
      <c r="CS31" s="105"/>
      <c r="CT31" s="87"/>
      <c r="CU31" s="104"/>
      <c r="CV31" s="105"/>
      <c r="CW31" s="105"/>
      <c r="CX31" s="105"/>
      <c r="CY31" s="105"/>
      <c r="CZ31" s="87"/>
      <c r="DA31" s="104"/>
      <c r="DB31" s="105"/>
      <c r="DC31" s="105"/>
      <c r="DD31" s="105"/>
      <c r="DE31" s="105"/>
      <c r="DF31" s="87"/>
      <c r="DG31" s="104"/>
      <c r="DH31" s="105"/>
      <c r="DI31" s="105"/>
      <c r="DJ31" s="105"/>
      <c r="DK31" s="105"/>
      <c r="DL31" s="87"/>
      <c r="DM31" s="104"/>
      <c r="DN31" s="105"/>
      <c r="DO31" s="105"/>
      <c r="DP31" s="105"/>
      <c r="DQ31" s="105"/>
      <c r="DR31" s="87"/>
      <c r="DS31" s="130"/>
      <c r="DT31" s="108"/>
      <c r="DU31" s="108"/>
      <c r="DW31" s="109"/>
      <c r="DX31" s="110">
        <f t="shared" si="13"/>
        <v>0</v>
      </c>
      <c r="DY31" s="111">
        <f t="shared" ref="DY31:DZ31" si="111">sum(BS31,BY31,CE31,CK31,CQ31,CW31,DC31,DI31,DO31)</f>
        <v>1</v>
      </c>
      <c r="DZ31" s="111">
        <f t="shared" si="111"/>
        <v>0</v>
      </c>
      <c r="EA31" s="110">
        <f t="shared" si="15"/>
        <v>55</v>
      </c>
      <c r="EB31" s="99" t="str">
        <f t="shared" si="16"/>
        <v>55+</v>
      </c>
      <c r="EC31" s="112"/>
      <c r="ED31" s="113">
        <f t="shared" si="17"/>
        <v>4</v>
      </c>
      <c r="EE31" s="114">
        <f>IF(V31 &lt;&gt; "", 1+((V31-MIN(discount_rates))*(4)/(MAX(discount_rates) - MIN(discount_rates))), "")</f>
        <v>1</v>
      </c>
      <c r="EF31" s="114" t="str">
        <f>IF(Q31="Debt", (1+((S31-MIN(interest_rates))*(4)/(MAX(interest_rates) - MIN(interest_rates)))), "")</f>
        <v/>
      </c>
      <c r="EG31" s="114" t="str">
        <f>IF(OR(Q31="Revenue Share", Q31="Profit Share"), (1+((R31-MIN(return_mutiples))*(4)/(MAX(return_mutiples) - MIN(return_mutiples)))), "")</f>
        <v/>
      </c>
      <c r="EH31" s="115">
        <f t="shared" si="18"/>
        <v>4</v>
      </c>
      <c r="EI31" s="116" t="str">
        <f t="shared" si="19"/>
        <v>SAFE</v>
      </c>
      <c r="EJ31" s="117">
        <f t="shared" si="20"/>
        <v>0.3561643836</v>
      </c>
      <c r="EK31" s="116" t="str">
        <f t="shared" si="21"/>
        <v>Growth</v>
      </c>
      <c r="EL31" s="112"/>
      <c r="EM31" s="118">
        <f t="shared" si="22"/>
        <v>1.3</v>
      </c>
      <c r="EN31" s="118">
        <f t="shared" si="23"/>
        <v>2.3</v>
      </c>
      <c r="EO31" s="119">
        <f t="shared" si="24"/>
        <v>3.6</v>
      </c>
      <c r="EP31" s="115">
        <f>1+((EO31-MIN(market_ratings_sums))*(4)/(MAX(market_ratings_sums) - MIN(market_ratings_sums)))</f>
        <v>1.631578947</v>
      </c>
      <c r="EQ31" s="116" t="str">
        <f t="shared" si="25"/>
        <v>Yes</v>
      </c>
      <c r="ER31" s="112"/>
      <c r="ES31" s="123">
        <f>1+((DX31-MIN(industry_experiences))*(4)/(MAX(industry_experiences) - MIN(industry_experiences)))</f>
        <v>1</v>
      </c>
      <c r="ET31" s="123">
        <f>1+((DY31-MIN(previous_startups))*(4)/(MAX(previous_startups) - MIN(previous_startups)))</f>
        <v>1.444444444</v>
      </c>
      <c r="EU31" s="123">
        <f>1+((DZ31-MIN(exits))*(4)/(MAX(exits) - MIN(exits)))</f>
        <v>1</v>
      </c>
      <c r="EV31" s="119">
        <f t="shared" si="26"/>
        <v>3.444444444</v>
      </c>
      <c r="EW31" s="124">
        <f>1+((EV31-MIN(team_ratings_sums))*(4)/(MAX(team_ratings_sums) - MIN(team_ratings_sums)))</f>
        <v>1.243478261</v>
      </c>
      <c r="EX31" s="116" t="str">
        <f t="shared" si="27"/>
        <v>55+</v>
      </c>
      <c r="EY31" s="125">
        <f t="shared" si="28"/>
        <v>0.1095890411</v>
      </c>
      <c r="EZ31" s="116">
        <f t="shared" si="29"/>
        <v>2</v>
      </c>
      <c r="FA31" s="125">
        <f t="shared" si="30"/>
        <v>0.4520547945</v>
      </c>
      <c r="FB31" s="116">
        <f t="shared" si="31"/>
        <v>8</v>
      </c>
      <c r="FC31" s="125">
        <f t="shared" si="32"/>
        <v>0.05479452055</v>
      </c>
      <c r="FD31" s="116" t="str">
        <f t="shared" si="33"/>
        <v>No</v>
      </c>
      <c r="FE31" s="125">
        <f t="shared" si="34"/>
        <v>0.7534246575</v>
      </c>
      <c r="FF31" s="116" t="str">
        <f t="shared" ref="FF31:FH31" si="112">BJ31</f>
        <v>No</v>
      </c>
      <c r="FG31" s="116" t="str">
        <f t="shared" si="112"/>
        <v>No</v>
      </c>
      <c r="FH31" s="116" t="str">
        <f t="shared" si="112"/>
        <v>No</v>
      </c>
      <c r="FI31" s="112"/>
      <c r="FJ31" s="116" t="str">
        <f t="shared" si="36"/>
        <v>Transactional</v>
      </c>
      <c r="FK31" s="125">
        <f t="shared" si="37"/>
        <v>0.602739726</v>
      </c>
      <c r="FL31" s="116" t="str">
        <f t="shared" si="38"/>
        <v>B2B/B2C</v>
      </c>
      <c r="FM31" s="125">
        <f t="shared" si="39"/>
        <v>0.3287671233</v>
      </c>
      <c r="FN31" s="116" t="str">
        <f t="shared" si="40"/>
        <v>High</v>
      </c>
      <c r="FO31" s="125">
        <f t="shared" si="41"/>
        <v>0.5616438356</v>
      </c>
      <c r="FP31" s="116" t="str">
        <f t="shared" si="42"/>
        <v>High</v>
      </c>
      <c r="FQ31" s="125">
        <f t="shared" si="43"/>
        <v>0.6438356164</v>
      </c>
      <c r="FR31" s="112"/>
      <c r="FS31" s="123">
        <f t="shared" si="44"/>
        <v>5</v>
      </c>
      <c r="FT31" s="123">
        <f t="shared" si="45"/>
        <v>2.3</v>
      </c>
      <c r="FU31" s="123">
        <f t="shared" si="46"/>
        <v>5</v>
      </c>
      <c r="FV31" s="123">
        <f t="shared" si="47"/>
        <v>2.8</v>
      </c>
      <c r="FW31" s="119">
        <f t="shared" si="48"/>
        <v>15.1</v>
      </c>
      <c r="FX31" s="115">
        <f>1+((FW31-MIN(performance_ratings_sums))*(4)/(MAX(performance_ratings_sums) - MIN(performance_ratings_sums)))</f>
        <v>4.140186916</v>
      </c>
      <c r="FY31" s="116" t="str">
        <f t="shared" si="49"/>
        <v>Pre-Profit</v>
      </c>
      <c r="FZ31" s="126">
        <f t="shared" si="50"/>
        <v>0.4931506849</v>
      </c>
      <c r="GA31" s="112"/>
      <c r="GB31" s="127">
        <f t="shared" si="51"/>
        <v>3</v>
      </c>
      <c r="GC31" s="116" t="str">
        <f t="shared" si="52"/>
        <v>Yes</v>
      </c>
      <c r="GD31" s="126">
        <f t="shared" si="53"/>
        <v>0.2328767123</v>
      </c>
      <c r="GE31" s="126" t="str">
        <f t="shared" si="54"/>
        <v>High</v>
      </c>
      <c r="GF31" s="126">
        <f t="shared" si="55"/>
        <v>0.4520547945</v>
      </c>
      <c r="GG31" s="126" t="str">
        <f t="shared" si="56"/>
        <v>Low</v>
      </c>
      <c r="GH31" s="126">
        <f t="shared" si="57"/>
        <v>0.1917808219</v>
      </c>
      <c r="GI31" s="112"/>
      <c r="GJ31" s="116"/>
      <c r="GK31" s="119">
        <f t="shared" si="58"/>
        <v>14.01524412</v>
      </c>
      <c r="GL31" s="128">
        <f>1+((GK31-MIN(ratings_sums))*(4)/(MAX(ratings_sums) - MIN(ratings_sums)))</f>
        <v>3.093033252</v>
      </c>
    </row>
    <row r="32" ht="15.75" customHeight="1">
      <c r="A32" s="100" t="s">
        <v>681</v>
      </c>
      <c r="B32" s="149">
        <v>1786855.0</v>
      </c>
      <c r="C32" s="100" t="s">
        <v>682</v>
      </c>
      <c r="D32" s="147"/>
      <c r="E32" s="100" t="s">
        <v>350</v>
      </c>
      <c r="F32" s="150" t="s">
        <v>683</v>
      </c>
      <c r="G32" s="150" t="s">
        <v>684</v>
      </c>
      <c r="H32" s="151">
        <v>43917.0</v>
      </c>
      <c r="I32" s="100" t="s">
        <v>685</v>
      </c>
      <c r="J32" s="100" t="s">
        <v>682</v>
      </c>
      <c r="K32" s="100" t="s">
        <v>433</v>
      </c>
      <c r="L32" s="100" t="s">
        <v>154</v>
      </c>
      <c r="M32" s="100" t="s">
        <v>31</v>
      </c>
      <c r="N32" s="100" t="s">
        <v>82</v>
      </c>
      <c r="O32" s="100" t="s">
        <v>35</v>
      </c>
      <c r="P32" s="90"/>
      <c r="Q32" s="100" t="s">
        <v>121</v>
      </c>
      <c r="R32" s="93"/>
      <c r="S32" s="94"/>
      <c r="T32" s="160">
        <v>2529820.0</v>
      </c>
      <c r="U32" s="96"/>
      <c r="V32" s="97"/>
      <c r="W32" s="96"/>
      <c r="X32" s="154">
        <v>2529820.0</v>
      </c>
      <c r="Y32" s="155" t="s">
        <v>113</v>
      </c>
      <c r="Z32" s="100" t="s">
        <v>86</v>
      </c>
      <c r="AA32" s="100" t="s">
        <v>37</v>
      </c>
      <c r="AB32" s="100" t="s">
        <v>88</v>
      </c>
      <c r="AC32" s="100" t="s">
        <v>493</v>
      </c>
      <c r="AD32" s="100" t="s">
        <v>39</v>
      </c>
      <c r="AE32" s="100" t="s">
        <v>89</v>
      </c>
      <c r="AF32" s="90"/>
      <c r="AG32" s="156">
        <v>1.0E9</v>
      </c>
      <c r="AH32" s="149" t="s">
        <v>232</v>
      </c>
      <c r="AI32" s="156">
        <v>3.0E8</v>
      </c>
      <c r="AJ32" s="149" t="s">
        <v>319</v>
      </c>
      <c r="AK32" s="157">
        <v>0.15</v>
      </c>
      <c r="AL32" s="149" t="s">
        <v>112</v>
      </c>
      <c r="AM32" s="149">
        <v>20.0</v>
      </c>
      <c r="AN32" s="100" t="s">
        <v>39</v>
      </c>
      <c r="AO32" s="100" t="s">
        <v>89</v>
      </c>
      <c r="AP32" s="100" t="s">
        <v>90</v>
      </c>
      <c r="AQ32" s="100" t="s">
        <v>39</v>
      </c>
      <c r="AR32" s="100" t="s">
        <v>39</v>
      </c>
      <c r="AS32" s="100" t="s">
        <v>469</v>
      </c>
      <c r="AT32" s="100" t="s">
        <v>469</v>
      </c>
      <c r="AU32" s="100" t="s">
        <v>493</v>
      </c>
      <c r="AV32" s="100" t="s">
        <v>493</v>
      </c>
      <c r="AW32" s="152">
        <v>15000.0</v>
      </c>
      <c r="AX32" s="152" t="s">
        <v>67</v>
      </c>
      <c r="AY32" s="152">
        <v>0.0</v>
      </c>
      <c r="AZ32" s="156">
        <v>0.0</v>
      </c>
      <c r="BA32" s="149" t="s">
        <v>62</v>
      </c>
      <c r="BB32" s="158">
        <v>1.0</v>
      </c>
      <c r="BC32" s="149" t="s">
        <v>305</v>
      </c>
      <c r="BD32" s="100" t="s">
        <v>124</v>
      </c>
      <c r="BE32" s="90"/>
      <c r="BF32" s="100" t="s">
        <v>493</v>
      </c>
      <c r="BG32" s="149">
        <v>15.0</v>
      </c>
      <c r="BH32" s="149">
        <v>2.0</v>
      </c>
      <c r="BI32" s="100" t="s">
        <v>469</v>
      </c>
      <c r="BJ32" s="100" t="s">
        <v>469</v>
      </c>
      <c r="BK32" s="100" t="s">
        <v>493</v>
      </c>
      <c r="BL32" s="100" t="s">
        <v>469</v>
      </c>
      <c r="BM32" s="149">
        <v>2.0</v>
      </c>
      <c r="BN32" s="149">
        <v>7.0</v>
      </c>
      <c r="BO32" s="149">
        <v>2.0</v>
      </c>
      <c r="BP32" s="149">
        <v>0.0</v>
      </c>
      <c r="BQ32" s="104"/>
      <c r="BR32" s="149">
        <v>2.0</v>
      </c>
      <c r="BS32" s="149">
        <v>0.0</v>
      </c>
      <c r="BT32" s="149">
        <v>0.0</v>
      </c>
      <c r="BU32" s="159">
        <v>45.0</v>
      </c>
      <c r="BV32" s="100" t="s">
        <v>469</v>
      </c>
      <c r="BW32" s="104"/>
      <c r="BX32" s="100">
        <v>5.0</v>
      </c>
      <c r="BY32" s="100">
        <v>0.0</v>
      </c>
      <c r="BZ32" s="100">
        <v>0.0</v>
      </c>
      <c r="CA32" s="100">
        <v>45.0</v>
      </c>
      <c r="CB32" s="100" t="s">
        <v>469</v>
      </c>
      <c r="CC32" s="104"/>
      <c r="CD32" s="87"/>
      <c r="CE32" s="87"/>
      <c r="CF32" s="87"/>
      <c r="CG32" s="87"/>
      <c r="CH32" s="87"/>
      <c r="CI32" s="104"/>
      <c r="CJ32" s="87"/>
      <c r="CK32" s="87"/>
      <c r="CL32" s="87"/>
      <c r="CM32" s="87"/>
      <c r="CN32" s="87"/>
      <c r="CO32" s="104"/>
      <c r="CP32" s="105"/>
      <c r="CQ32" s="105"/>
      <c r="CR32" s="105"/>
      <c r="CS32" s="105"/>
      <c r="CT32" s="87"/>
      <c r="CU32" s="104"/>
      <c r="CV32" s="105"/>
      <c r="CW32" s="105"/>
      <c r="CX32" s="105"/>
      <c r="CY32" s="105"/>
      <c r="CZ32" s="87"/>
      <c r="DA32" s="104"/>
      <c r="DB32" s="105"/>
      <c r="DC32" s="105"/>
      <c r="DD32" s="105"/>
      <c r="DE32" s="105"/>
      <c r="DF32" s="87"/>
      <c r="DG32" s="104"/>
      <c r="DH32" s="105"/>
      <c r="DI32" s="105"/>
      <c r="DJ32" s="105"/>
      <c r="DK32" s="105"/>
      <c r="DL32" s="87"/>
      <c r="DM32" s="104"/>
      <c r="DN32" s="105"/>
      <c r="DO32" s="105"/>
      <c r="DP32" s="105"/>
      <c r="DQ32" s="105"/>
      <c r="DR32" s="87"/>
      <c r="DS32" s="130"/>
      <c r="DT32" s="108"/>
      <c r="DU32" s="108"/>
      <c r="DW32" s="109"/>
      <c r="DX32" s="110">
        <f t="shared" si="13"/>
        <v>3.5</v>
      </c>
      <c r="DY32" s="111">
        <f t="shared" ref="DY32:DZ32" si="113">sum(BS32,BY32,CE32,CK32,CQ32,CW32,DC32,DI32,DO32)</f>
        <v>0</v>
      </c>
      <c r="DZ32" s="111">
        <f t="shared" si="113"/>
        <v>0</v>
      </c>
      <c r="EA32" s="110">
        <f t="shared" si="15"/>
        <v>45</v>
      </c>
      <c r="EB32" s="99" t="str">
        <f t="shared" si="16"/>
        <v>35 - 54</v>
      </c>
      <c r="EC32" s="112"/>
      <c r="ED32" s="113">
        <f t="shared" si="17"/>
        <v>4.6</v>
      </c>
      <c r="EE32" s="114" t="str">
        <f>IF(V32 &lt;&gt; "", 1+((V32-MIN(discount_rates))*(4)/(MAX(discount_rates) - MIN(discount_rates))), "")</f>
        <v/>
      </c>
      <c r="EF32" s="114" t="str">
        <f>IF(Q32="Debt", (1+((S32-MIN(interest_rates))*(4)/(MAX(interest_rates) - MIN(interest_rates)))), "")</f>
        <v/>
      </c>
      <c r="EG32" s="114" t="str">
        <f>IF(OR(Q32="Revenue Share", Q32="Profit Share"), (1+((R32-MIN(return_mutiples))*(4)/(MAX(return_mutiples) - MIN(return_mutiples)))), "")</f>
        <v/>
      </c>
      <c r="EH32" s="115">
        <f t="shared" si="18"/>
        <v>4.6</v>
      </c>
      <c r="EI32" s="116" t="str">
        <f t="shared" si="19"/>
        <v>Equity - Common</v>
      </c>
      <c r="EJ32" s="117">
        <f t="shared" si="20"/>
        <v>0.3287671233</v>
      </c>
      <c r="EK32" s="116" t="str">
        <f t="shared" si="21"/>
        <v>Early</v>
      </c>
      <c r="EL32" s="112"/>
      <c r="EM32" s="118">
        <f t="shared" si="22"/>
        <v>2.1</v>
      </c>
      <c r="EN32" s="118">
        <f t="shared" si="23"/>
        <v>2.3</v>
      </c>
      <c r="EO32" s="119">
        <f t="shared" si="24"/>
        <v>4.4</v>
      </c>
      <c r="EP32" s="115">
        <f>1+((EO32-MIN(market_ratings_sums))*(4)/(MAX(market_ratings_sums) - MIN(market_ratings_sums)))</f>
        <v>2.192982456</v>
      </c>
      <c r="EQ32" s="116" t="str">
        <f t="shared" si="25"/>
        <v>No</v>
      </c>
      <c r="ER32" s="112"/>
      <c r="ES32" s="123">
        <f>1+((DX32-MIN(industry_experiences))*(4)/(MAX(industry_experiences) - MIN(industry_experiences)))</f>
        <v>1.333333333</v>
      </c>
      <c r="ET32" s="123">
        <f>1+((DY32-MIN(previous_startups))*(4)/(MAX(previous_startups) - MIN(previous_startups)))</f>
        <v>1</v>
      </c>
      <c r="EU32" s="123">
        <f>1+((DZ32-MIN(exits))*(4)/(MAX(exits) - MIN(exits)))</f>
        <v>1</v>
      </c>
      <c r="EV32" s="119">
        <f t="shared" si="26"/>
        <v>3.333333333</v>
      </c>
      <c r="EW32" s="124">
        <f>1+((EV32-MIN(team_ratings_sums))*(4)/(MAX(team_ratings_sums) - MIN(team_ratings_sums)))</f>
        <v>1.182608696</v>
      </c>
      <c r="EX32" s="116" t="str">
        <f t="shared" si="27"/>
        <v>35 - 54</v>
      </c>
      <c r="EY32" s="125">
        <f t="shared" si="28"/>
        <v>0.6849315068</v>
      </c>
      <c r="EZ32" s="116">
        <f t="shared" si="29"/>
        <v>2</v>
      </c>
      <c r="FA32" s="125">
        <f t="shared" si="30"/>
        <v>0.4520547945</v>
      </c>
      <c r="FB32" s="116">
        <f t="shared" si="31"/>
        <v>7</v>
      </c>
      <c r="FC32" s="125">
        <f t="shared" si="32"/>
        <v>0.04109589041</v>
      </c>
      <c r="FD32" s="116" t="str">
        <f t="shared" si="33"/>
        <v>No</v>
      </c>
      <c r="FE32" s="125">
        <f t="shared" si="34"/>
        <v>0.7534246575</v>
      </c>
      <c r="FF32" s="116" t="str">
        <f t="shared" ref="FF32:FH32" si="114">BJ32</f>
        <v>No</v>
      </c>
      <c r="FG32" s="116" t="str">
        <f t="shared" si="114"/>
        <v>Yes</v>
      </c>
      <c r="FH32" s="116" t="str">
        <f t="shared" si="114"/>
        <v>No</v>
      </c>
      <c r="FI32" s="112"/>
      <c r="FJ32" s="116" t="str">
        <f t="shared" si="36"/>
        <v>Recurring</v>
      </c>
      <c r="FK32" s="125">
        <f t="shared" si="37"/>
        <v>0.397260274</v>
      </c>
      <c r="FL32" s="116" t="str">
        <f t="shared" si="38"/>
        <v>B2B</v>
      </c>
      <c r="FM32" s="125">
        <f t="shared" si="39"/>
        <v>0.2465753425</v>
      </c>
      <c r="FN32" s="116" t="str">
        <f t="shared" si="40"/>
        <v>High</v>
      </c>
      <c r="FO32" s="125">
        <f t="shared" si="41"/>
        <v>0.5616438356</v>
      </c>
      <c r="FP32" s="116" t="str">
        <f t="shared" si="42"/>
        <v>Low</v>
      </c>
      <c r="FQ32" s="125">
        <f t="shared" si="43"/>
        <v>0.3561643836</v>
      </c>
      <c r="FR32" s="112"/>
      <c r="FS32" s="123">
        <f t="shared" si="44"/>
        <v>5</v>
      </c>
      <c r="FT32" s="123">
        <f t="shared" si="45"/>
        <v>1.4</v>
      </c>
      <c r="FU32" s="123">
        <f t="shared" si="46"/>
        <v>1</v>
      </c>
      <c r="FV32" s="123">
        <f t="shared" si="47"/>
        <v>5</v>
      </c>
      <c r="FW32" s="119">
        <f t="shared" si="48"/>
        <v>12.4</v>
      </c>
      <c r="FX32" s="115">
        <f>1+((FW32-MIN(performance_ratings_sums))*(4)/(MAX(performance_ratings_sums) - MIN(performance_ratings_sums)))</f>
        <v>3.130841121</v>
      </c>
      <c r="FY32" s="116" t="str">
        <f t="shared" si="49"/>
        <v>Profitable</v>
      </c>
      <c r="FZ32" s="126">
        <f t="shared" si="50"/>
        <v>0.06849315068</v>
      </c>
      <c r="GA32" s="112"/>
      <c r="GB32" s="127">
        <f t="shared" si="51"/>
        <v>3</v>
      </c>
      <c r="GC32" s="116" t="str">
        <f t="shared" si="52"/>
        <v>No</v>
      </c>
      <c r="GD32" s="126">
        <f t="shared" si="53"/>
        <v>0.7671232877</v>
      </c>
      <c r="GE32" s="126" t="str">
        <f t="shared" si="54"/>
        <v>High</v>
      </c>
      <c r="GF32" s="126">
        <f t="shared" si="55"/>
        <v>0.4520547945</v>
      </c>
      <c r="GG32" s="126" t="str">
        <f t="shared" si="56"/>
        <v>High</v>
      </c>
      <c r="GH32" s="126">
        <f t="shared" si="57"/>
        <v>0.8082191781</v>
      </c>
      <c r="GI32" s="112"/>
      <c r="GJ32" s="116"/>
      <c r="GK32" s="119">
        <f t="shared" si="58"/>
        <v>14.10643227</v>
      </c>
      <c r="GL32" s="128">
        <f>1+((GK32-MIN(ratings_sums))*(4)/(MAX(ratings_sums) - MIN(ratings_sums)))</f>
        <v>3.12101342</v>
      </c>
    </row>
    <row r="33" ht="15.75" customHeight="1">
      <c r="A33" s="100" t="s">
        <v>681</v>
      </c>
      <c r="B33" s="149">
        <v>1807984.0</v>
      </c>
      <c r="C33" s="100" t="s">
        <v>686</v>
      </c>
      <c r="D33" s="147"/>
      <c r="E33" s="100" t="s">
        <v>369</v>
      </c>
      <c r="F33" s="150" t="s">
        <v>687</v>
      </c>
      <c r="G33" s="150" t="s">
        <v>688</v>
      </c>
      <c r="H33" s="151">
        <v>43920.0</v>
      </c>
      <c r="I33" s="100" t="s">
        <v>686</v>
      </c>
      <c r="J33" s="100" t="s">
        <v>689</v>
      </c>
      <c r="K33" s="100" t="s">
        <v>448</v>
      </c>
      <c r="L33" s="100" t="s">
        <v>221</v>
      </c>
      <c r="M33" s="100" t="s">
        <v>31</v>
      </c>
      <c r="N33" s="100" t="s">
        <v>32</v>
      </c>
      <c r="O33" s="100" t="s">
        <v>35</v>
      </c>
      <c r="P33" s="90"/>
      <c r="Q33" s="100" t="s">
        <v>195</v>
      </c>
      <c r="R33" s="93"/>
      <c r="S33" s="94"/>
      <c r="T33" s="95"/>
      <c r="U33" s="152">
        <v>5000000.0</v>
      </c>
      <c r="V33" s="153">
        <v>0.0</v>
      </c>
      <c r="W33" s="152">
        <v>5000000.0</v>
      </c>
      <c r="X33" s="154">
        <v>5000000.0</v>
      </c>
      <c r="Y33" s="155" t="s">
        <v>130</v>
      </c>
      <c r="Z33" s="100" t="s">
        <v>86</v>
      </c>
      <c r="AA33" s="100" t="s">
        <v>87</v>
      </c>
      <c r="AB33" s="100" t="s">
        <v>88</v>
      </c>
      <c r="AC33" s="100" t="s">
        <v>493</v>
      </c>
      <c r="AD33" s="100" t="s">
        <v>89</v>
      </c>
      <c r="AE33" s="100" t="s">
        <v>89</v>
      </c>
      <c r="AF33" s="90"/>
      <c r="AG33" s="156">
        <v>5.0E10</v>
      </c>
      <c r="AH33" s="149" t="s">
        <v>140</v>
      </c>
      <c r="AI33" s="156">
        <v>5.0E9</v>
      </c>
      <c r="AJ33" s="149" t="s">
        <v>199</v>
      </c>
      <c r="AK33" s="157">
        <v>0.2</v>
      </c>
      <c r="AL33" s="149" t="s">
        <v>112</v>
      </c>
      <c r="AM33" s="149">
        <v>2.0</v>
      </c>
      <c r="AN33" s="100" t="s">
        <v>39</v>
      </c>
      <c r="AO33" s="100" t="s">
        <v>39</v>
      </c>
      <c r="AP33" s="100" t="s">
        <v>90</v>
      </c>
      <c r="AQ33" s="100" t="s">
        <v>39</v>
      </c>
      <c r="AR33" s="100" t="s">
        <v>89</v>
      </c>
      <c r="AS33" s="100" t="s">
        <v>493</v>
      </c>
      <c r="AT33" s="100" t="s">
        <v>469</v>
      </c>
      <c r="AU33" s="100" t="s">
        <v>469</v>
      </c>
      <c r="AV33" s="100" t="s">
        <v>469</v>
      </c>
      <c r="AW33" s="152">
        <v>0.0</v>
      </c>
      <c r="AX33" s="152" t="s">
        <v>62</v>
      </c>
      <c r="AY33" s="152">
        <v>0.0</v>
      </c>
      <c r="AZ33" s="156">
        <v>0.0</v>
      </c>
      <c r="BA33" s="149" t="s">
        <v>62</v>
      </c>
      <c r="BB33" s="158">
        <v>1.0</v>
      </c>
      <c r="BC33" s="149" t="s">
        <v>305</v>
      </c>
      <c r="BD33" s="100" t="s">
        <v>41</v>
      </c>
      <c r="BE33" s="90"/>
      <c r="BF33" s="100" t="s">
        <v>469</v>
      </c>
      <c r="BG33" s="149">
        <v>0.0</v>
      </c>
      <c r="BH33" s="149">
        <v>2.0</v>
      </c>
      <c r="BI33" s="100" t="s">
        <v>469</v>
      </c>
      <c r="BJ33" s="100" t="s">
        <v>469</v>
      </c>
      <c r="BK33" s="100" t="s">
        <v>493</v>
      </c>
      <c r="BL33" s="100" t="s">
        <v>469</v>
      </c>
      <c r="BM33" s="149">
        <v>2.0</v>
      </c>
      <c r="BN33" s="149">
        <v>2.0</v>
      </c>
      <c r="BO33" s="149">
        <v>3.0</v>
      </c>
      <c r="BP33" s="149">
        <v>2.0</v>
      </c>
      <c r="BQ33" s="104"/>
      <c r="BR33" s="149">
        <v>3.0</v>
      </c>
      <c r="BS33" s="149">
        <v>0.0</v>
      </c>
      <c r="BT33" s="149">
        <v>0.0</v>
      </c>
      <c r="BU33" s="159">
        <v>36.0</v>
      </c>
      <c r="BV33" s="100" t="s">
        <v>469</v>
      </c>
      <c r="BW33" s="104"/>
      <c r="BX33" s="100">
        <v>0.0</v>
      </c>
      <c r="BY33" s="100">
        <v>1.0</v>
      </c>
      <c r="BZ33" s="100">
        <v>0.0</v>
      </c>
      <c r="CA33" s="100">
        <v>20.0</v>
      </c>
      <c r="CB33" s="100" t="s">
        <v>493</v>
      </c>
      <c r="CC33" s="104"/>
      <c r="CD33" s="87"/>
      <c r="CE33" s="87"/>
      <c r="CF33" s="87"/>
      <c r="CG33" s="87"/>
      <c r="CH33" s="87"/>
      <c r="CI33" s="104"/>
      <c r="CJ33" s="87"/>
      <c r="CK33" s="87"/>
      <c r="CL33" s="87"/>
      <c r="CM33" s="87"/>
      <c r="CN33" s="87"/>
      <c r="CO33" s="104"/>
      <c r="CP33" s="105"/>
      <c r="CQ33" s="105"/>
      <c r="CR33" s="105"/>
      <c r="CS33" s="105"/>
      <c r="CT33" s="87"/>
      <c r="CU33" s="104"/>
      <c r="CV33" s="105"/>
      <c r="CW33" s="105"/>
      <c r="CX33" s="105"/>
      <c r="CY33" s="105"/>
      <c r="CZ33" s="87"/>
      <c r="DA33" s="104"/>
      <c r="DB33" s="105"/>
      <c r="DC33" s="105"/>
      <c r="DD33" s="105"/>
      <c r="DE33" s="105"/>
      <c r="DF33" s="87"/>
      <c r="DG33" s="104"/>
      <c r="DH33" s="105"/>
      <c r="DI33" s="105"/>
      <c r="DJ33" s="105"/>
      <c r="DK33" s="105"/>
      <c r="DL33" s="87"/>
      <c r="DM33" s="104"/>
      <c r="DN33" s="105"/>
      <c r="DO33" s="105"/>
      <c r="DP33" s="105"/>
      <c r="DQ33" s="105"/>
      <c r="DR33" s="87"/>
      <c r="DS33" s="130"/>
      <c r="DT33" s="108"/>
      <c r="DU33" s="108"/>
      <c r="DW33" s="109"/>
      <c r="DX33" s="110">
        <f t="shared" si="13"/>
        <v>1.5</v>
      </c>
      <c r="DY33" s="111">
        <f t="shared" ref="DY33:DZ33" si="115">sum(BS33,BY33,CE33,CK33,CQ33,CW33,DC33,DI33,DO33)</f>
        <v>1</v>
      </c>
      <c r="DZ33" s="111">
        <f t="shared" si="115"/>
        <v>0</v>
      </c>
      <c r="EA33" s="110">
        <f t="shared" si="15"/>
        <v>28</v>
      </c>
      <c r="EB33" s="99" t="str">
        <f t="shared" si="16"/>
        <v>20 - 34</v>
      </c>
      <c r="EC33" s="112"/>
      <c r="ED33" s="113">
        <f t="shared" si="17"/>
        <v>4.4</v>
      </c>
      <c r="EE33" s="114">
        <f>IF(V33 &lt;&gt; "", 1+((V33-MIN(discount_rates))*(4)/(MAX(discount_rates) - MIN(discount_rates))), "")</f>
        <v>1</v>
      </c>
      <c r="EF33" s="114" t="str">
        <f>IF(Q33="Debt", (1+((S33-MIN(interest_rates))*(4)/(MAX(interest_rates) - MIN(interest_rates)))), "")</f>
        <v/>
      </c>
      <c r="EG33" s="114" t="str">
        <f>IF(OR(Q33="Revenue Share", Q33="Profit Share"), (1+((R33-MIN(return_mutiples))*(4)/(MAX(return_mutiples) - MIN(return_mutiples)))), "")</f>
        <v/>
      </c>
      <c r="EH33" s="115">
        <f t="shared" si="18"/>
        <v>4.4</v>
      </c>
      <c r="EI33" s="116" t="str">
        <f t="shared" si="19"/>
        <v>SAFE</v>
      </c>
      <c r="EJ33" s="117">
        <f t="shared" si="20"/>
        <v>0.3561643836</v>
      </c>
      <c r="EK33" s="116" t="str">
        <f t="shared" si="21"/>
        <v>Early</v>
      </c>
      <c r="EL33" s="112"/>
      <c r="EM33" s="118">
        <f t="shared" si="22"/>
        <v>3</v>
      </c>
      <c r="EN33" s="118">
        <f t="shared" si="23"/>
        <v>2.3</v>
      </c>
      <c r="EO33" s="119">
        <f t="shared" si="24"/>
        <v>5.3</v>
      </c>
      <c r="EP33" s="115">
        <f>1+((EO33-MIN(market_ratings_sums))*(4)/(MAX(market_ratings_sums) - MIN(market_ratings_sums)))</f>
        <v>2.824561404</v>
      </c>
      <c r="EQ33" s="116" t="str">
        <f t="shared" si="25"/>
        <v>Yes</v>
      </c>
      <c r="ER33" s="112"/>
      <c r="ES33" s="123">
        <f>1+((DX33-MIN(industry_experiences))*(4)/(MAX(industry_experiences) - MIN(industry_experiences)))</f>
        <v>1.142857143</v>
      </c>
      <c r="ET33" s="123">
        <f>1+((DY33-MIN(previous_startups))*(4)/(MAX(previous_startups) - MIN(previous_startups)))</f>
        <v>1.444444444</v>
      </c>
      <c r="EU33" s="123">
        <f>1+((DZ33-MIN(exits))*(4)/(MAX(exits) - MIN(exits)))</f>
        <v>1</v>
      </c>
      <c r="EV33" s="119">
        <f t="shared" si="26"/>
        <v>3.587301587</v>
      </c>
      <c r="EW33" s="124">
        <f>1+((EV33-MIN(team_ratings_sums))*(4)/(MAX(team_ratings_sums) - MIN(team_ratings_sums)))</f>
        <v>1.32173913</v>
      </c>
      <c r="EX33" s="116" t="str">
        <f t="shared" si="27"/>
        <v>20 - 34</v>
      </c>
      <c r="EY33" s="125">
        <f t="shared" si="28"/>
        <v>0.2054794521</v>
      </c>
      <c r="EZ33" s="116">
        <f t="shared" si="29"/>
        <v>2</v>
      </c>
      <c r="FA33" s="125">
        <f t="shared" si="30"/>
        <v>0.4520547945</v>
      </c>
      <c r="FB33" s="116">
        <f t="shared" si="31"/>
        <v>2</v>
      </c>
      <c r="FC33" s="125">
        <f t="shared" si="32"/>
        <v>0.1369863014</v>
      </c>
      <c r="FD33" s="116" t="str">
        <f t="shared" si="33"/>
        <v>No</v>
      </c>
      <c r="FE33" s="125">
        <f t="shared" si="34"/>
        <v>0.7534246575</v>
      </c>
      <c r="FF33" s="116" t="str">
        <f t="shared" ref="FF33:FH33" si="116">BJ33</f>
        <v>No</v>
      </c>
      <c r="FG33" s="116" t="str">
        <f t="shared" si="116"/>
        <v>Yes</v>
      </c>
      <c r="FH33" s="116" t="str">
        <f t="shared" si="116"/>
        <v>No</v>
      </c>
      <c r="FI33" s="112"/>
      <c r="FJ33" s="116" t="str">
        <f t="shared" si="36"/>
        <v>Recurring</v>
      </c>
      <c r="FK33" s="125">
        <f t="shared" si="37"/>
        <v>0.397260274</v>
      </c>
      <c r="FL33" s="116" t="str">
        <f t="shared" si="38"/>
        <v>B2C</v>
      </c>
      <c r="FM33" s="125">
        <f t="shared" si="39"/>
        <v>0.397260274</v>
      </c>
      <c r="FN33" s="116" t="str">
        <f t="shared" si="40"/>
        <v>Low</v>
      </c>
      <c r="FO33" s="125">
        <f t="shared" si="41"/>
        <v>0.4383561644</v>
      </c>
      <c r="FP33" s="116" t="str">
        <f t="shared" si="42"/>
        <v>Low</v>
      </c>
      <c r="FQ33" s="125">
        <f t="shared" si="43"/>
        <v>0.3561643836</v>
      </c>
      <c r="FR33" s="112"/>
      <c r="FS33" s="123">
        <f t="shared" si="44"/>
        <v>1</v>
      </c>
      <c r="FT33" s="123">
        <f t="shared" si="45"/>
        <v>1</v>
      </c>
      <c r="FU33" s="123">
        <f t="shared" si="46"/>
        <v>1</v>
      </c>
      <c r="FV33" s="123">
        <f t="shared" si="47"/>
        <v>5</v>
      </c>
      <c r="FW33" s="119">
        <f t="shared" si="48"/>
        <v>8</v>
      </c>
      <c r="FX33" s="115">
        <f>1+((FW33-MIN(performance_ratings_sums))*(4)/(MAX(performance_ratings_sums) - MIN(performance_ratings_sums)))</f>
        <v>1.485981308</v>
      </c>
      <c r="FY33" s="116" t="str">
        <f t="shared" si="49"/>
        <v>Pre-Product</v>
      </c>
      <c r="FZ33" s="126">
        <f t="shared" si="50"/>
        <v>0.2328767123</v>
      </c>
      <c r="GA33" s="112"/>
      <c r="GB33" s="127">
        <f t="shared" si="51"/>
        <v>5</v>
      </c>
      <c r="GC33" s="116" t="str">
        <f t="shared" si="52"/>
        <v>No</v>
      </c>
      <c r="GD33" s="126">
        <f t="shared" si="53"/>
        <v>0.7671232877</v>
      </c>
      <c r="GE33" s="126" t="str">
        <f t="shared" si="54"/>
        <v>High</v>
      </c>
      <c r="GF33" s="126">
        <f t="shared" si="55"/>
        <v>0.4520547945</v>
      </c>
      <c r="GG33" s="126" t="str">
        <f t="shared" si="56"/>
        <v>Low</v>
      </c>
      <c r="GH33" s="126">
        <f t="shared" si="57"/>
        <v>0.1917808219</v>
      </c>
      <c r="GI33" s="112"/>
      <c r="GJ33" s="116"/>
      <c r="GK33" s="119">
        <f t="shared" si="58"/>
        <v>15.03228184</v>
      </c>
      <c r="GL33" s="128">
        <f>1+((GK33-MIN(ratings_sums))*(4)/(MAX(ratings_sums) - MIN(ratings_sums)))</f>
        <v>3.405101072</v>
      </c>
    </row>
    <row r="34" ht="15.75" customHeight="1">
      <c r="A34" s="100" t="s">
        <v>681</v>
      </c>
      <c r="B34" s="149">
        <v>1807742.0</v>
      </c>
      <c r="C34" s="100" t="s">
        <v>690</v>
      </c>
      <c r="D34" s="147"/>
      <c r="E34" s="100" t="s">
        <v>369</v>
      </c>
      <c r="F34" s="150" t="s">
        <v>691</v>
      </c>
      <c r="G34" s="150" t="s">
        <v>692</v>
      </c>
      <c r="H34" s="151">
        <v>43917.0</v>
      </c>
      <c r="I34" s="100" t="s">
        <v>693</v>
      </c>
      <c r="J34" s="100" t="s">
        <v>690</v>
      </c>
      <c r="K34" s="100" t="s">
        <v>415</v>
      </c>
      <c r="L34" s="100" t="s">
        <v>349</v>
      </c>
      <c r="M34" s="100" t="s">
        <v>31</v>
      </c>
      <c r="N34" s="100" t="s">
        <v>82</v>
      </c>
      <c r="O34" s="100" t="s">
        <v>35</v>
      </c>
      <c r="P34" s="90"/>
      <c r="Q34" s="100" t="s">
        <v>195</v>
      </c>
      <c r="R34" s="93"/>
      <c r="S34" s="94"/>
      <c r="T34" s="95"/>
      <c r="U34" s="152">
        <v>1.25E7</v>
      </c>
      <c r="V34" s="153">
        <v>0.2</v>
      </c>
      <c r="W34" s="152">
        <v>1.0E7</v>
      </c>
      <c r="X34" s="154">
        <v>1.0E7</v>
      </c>
      <c r="Y34" s="155" t="s">
        <v>162</v>
      </c>
      <c r="Z34" s="100" t="s">
        <v>36</v>
      </c>
      <c r="AA34" s="100" t="s">
        <v>87</v>
      </c>
      <c r="AB34" s="100" t="s">
        <v>88</v>
      </c>
      <c r="AC34" s="100" t="s">
        <v>493</v>
      </c>
      <c r="AD34" s="100" t="s">
        <v>89</v>
      </c>
      <c r="AE34" s="100" t="s">
        <v>89</v>
      </c>
      <c r="AF34" s="90"/>
      <c r="AG34" s="156">
        <v>5.0E10</v>
      </c>
      <c r="AH34" s="149" t="s">
        <v>140</v>
      </c>
      <c r="AI34" s="156">
        <v>1.0E10</v>
      </c>
      <c r="AJ34" s="149" t="s">
        <v>174</v>
      </c>
      <c r="AK34" s="157">
        <v>-0.01</v>
      </c>
      <c r="AL34" s="149" t="s">
        <v>65</v>
      </c>
      <c r="AM34" s="149">
        <v>10.0</v>
      </c>
      <c r="AN34" s="100" t="s">
        <v>89</v>
      </c>
      <c r="AO34" s="100" t="s">
        <v>89</v>
      </c>
      <c r="AP34" s="100" t="s">
        <v>40</v>
      </c>
      <c r="AQ34" s="100" t="s">
        <v>89</v>
      </c>
      <c r="AR34" s="100" t="s">
        <v>39</v>
      </c>
      <c r="AS34" s="100" t="s">
        <v>469</v>
      </c>
      <c r="AT34" s="100" t="s">
        <v>469</v>
      </c>
      <c r="AU34" s="100" t="s">
        <v>493</v>
      </c>
      <c r="AV34" s="100" t="s">
        <v>493</v>
      </c>
      <c r="AW34" s="152">
        <v>574457.0</v>
      </c>
      <c r="AX34" s="152" t="s">
        <v>71</v>
      </c>
      <c r="AY34" s="152">
        <v>4000.0</v>
      </c>
      <c r="AZ34" s="156">
        <v>205000.0</v>
      </c>
      <c r="BA34" s="149" t="s">
        <v>70</v>
      </c>
      <c r="BB34" s="158">
        <v>0.0195</v>
      </c>
      <c r="BC34" s="149" t="s">
        <v>76</v>
      </c>
      <c r="BD34" s="100" t="s">
        <v>107</v>
      </c>
      <c r="BE34" s="90"/>
      <c r="BF34" s="100" t="s">
        <v>493</v>
      </c>
      <c r="BG34" s="149">
        <v>2.0</v>
      </c>
      <c r="BH34" s="149">
        <v>2.0</v>
      </c>
      <c r="BI34" s="100" t="s">
        <v>469</v>
      </c>
      <c r="BJ34" s="100" t="s">
        <v>469</v>
      </c>
      <c r="BK34" s="100" t="s">
        <v>493</v>
      </c>
      <c r="BL34" s="100" t="s">
        <v>469</v>
      </c>
      <c r="BM34" s="149">
        <v>4.0</v>
      </c>
      <c r="BN34" s="149">
        <v>5.0</v>
      </c>
      <c r="BO34" s="149">
        <v>0.0</v>
      </c>
      <c r="BP34" s="149">
        <v>0.0</v>
      </c>
      <c r="BQ34" s="104"/>
      <c r="BR34" s="149">
        <v>8.0</v>
      </c>
      <c r="BS34" s="149">
        <v>0.0</v>
      </c>
      <c r="BT34" s="149">
        <v>0.0</v>
      </c>
      <c r="BU34" s="159">
        <v>40.0</v>
      </c>
      <c r="BV34" s="100" t="s">
        <v>469</v>
      </c>
      <c r="BW34" s="104"/>
      <c r="BX34" s="100">
        <v>10.0</v>
      </c>
      <c r="BY34" s="100">
        <v>0.0</v>
      </c>
      <c r="BZ34" s="100">
        <v>0.0</v>
      </c>
      <c r="CA34" s="100">
        <v>40.0</v>
      </c>
      <c r="CB34" s="100" t="s">
        <v>469</v>
      </c>
      <c r="CC34" s="104"/>
      <c r="CD34" s="87"/>
      <c r="CE34" s="87"/>
      <c r="CF34" s="87"/>
      <c r="CG34" s="87"/>
      <c r="CH34" s="87"/>
      <c r="CI34" s="104"/>
      <c r="CJ34" s="87"/>
      <c r="CK34" s="87"/>
      <c r="CL34" s="87"/>
      <c r="CM34" s="87"/>
      <c r="CN34" s="87"/>
      <c r="CO34" s="104"/>
      <c r="CP34" s="105"/>
      <c r="CQ34" s="105"/>
      <c r="CR34" s="105"/>
      <c r="CS34" s="105"/>
      <c r="CT34" s="87"/>
      <c r="CU34" s="104"/>
      <c r="CV34" s="105"/>
      <c r="CW34" s="105"/>
      <c r="CX34" s="105"/>
      <c r="CY34" s="105"/>
      <c r="CZ34" s="87"/>
      <c r="DA34" s="104"/>
      <c r="DB34" s="105"/>
      <c r="DC34" s="105"/>
      <c r="DD34" s="105"/>
      <c r="DE34" s="105"/>
      <c r="DF34" s="87"/>
      <c r="DG34" s="104"/>
      <c r="DH34" s="105"/>
      <c r="DI34" s="105"/>
      <c r="DJ34" s="105"/>
      <c r="DK34" s="105"/>
      <c r="DL34" s="87"/>
      <c r="DM34" s="104"/>
      <c r="DN34" s="105"/>
      <c r="DO34" s="105"/>
      <c r="DP34" s="105"/>
      <c r="DQ34" s="105"/>
      <c r="DR34" s="87"/>
      <c r="DS34" s="130"/>
      <c r="DT34" s="108"/>
      <c r="DU34" s="108"/>
      <c r="DW34" s="109"/>
      <c r="DX34" s="110">
        <f t="shared" si="13"/>
        <v>9</v>
      </c>
      <c r="DY34" s="111">
        <f t="shared" ref="DY34:DZ34" si="117">sum(BS34,BY34,CE34,CK34,CQ34,CW34,DC34,DI34,DO34)</f>
        <v>0</v>
      </c>
      <c r="DZ34" s="111">
        <f t="shared" si="117"/>
        <v>0</v>
      </c>
      <c r="EA34" s="110">
        <f t="shared" si="15"/>
        <v>40</v>
      </c>
      <c r="EB34" s="99" t="str">
        <f t="shared" si="16"/>
        <v>35 - 54</v>
      </c>
      <c r="EC34" s="112"/>
      <c r="ED34" s="113">
        <f t="shared" si="17"/>
        <v>4</v>
      </c>
      <c r="EE34" s="114">
        <f>IF(V34 &lt;&gt; "", 1+((V34-MIN(discount_rates))*(4)/(MAX(discount_rates) - MIN(discount_rates))), "")</f>
        <v>3.105263158</v>
      </c>
      <c r="EF34" s="114" t="str">
        <f>IF(Q34="Debt", (1+((S34-MIN(interest_rates))*(4)/(MAX(interest_rates) - MIN(interest_rates)))), "")</f>
        <v/>
      </c>
      <c r="EG34" s="114" t="str">
        <f>IF(OR(Q34="Revenue Share", Q34="Profit Share"), (1+((R34-MIN(return_mutiples))*(4)/(MAX(return_mutiples) - MIN(return_mutiples)))), "")</f>
        <v/>
      </c>
      <c r="EH34" s="115">
        <f t="shared" si="18"/>
        <v>4</v>
      </c>
      <c r="EI34" s="116" t="str">
        <f t="shared" si="19"/>
        <v>SAFE</v>
      </c>
      <c r="EJ34" s="117">
        <f t="shared" si="20"/>
        <v>0.3561643836</v>
      </c>
      <c r="EK34" s="116" t="str">
        <f t="shared" si="21"/>
        <v>Early</v>
      </c>
      <c r="EL34" s="112"/>
      <c r="EM34" s="118">
        <f t="shared" si="22"/>
        <v>3.3</v>
      </c>
      <c r="EN34" s="118">
        <f t="shared" si="23"/>
        <v>1</v>
      </c>
      <c r="EO34" s="119">
        <f t="shared" si="24"/>
        <v>4.3</v>
      </c>
      <c r="EP34" s="115">
        <f>1+((EO34-MIN(market_ratings_sums))*(4)/(MAX(market_ratings_sums) - MIN(market_ratings_sums)))</f>
        <v>2.122807018</v>
      </c>
      <c r="EQ34" s="116" t="str">
        <f t="shared" si="25"/>
        <v>No</v>
      </c>
      <c r="ER34" s="112"/>
      <c r="ES34" s="123">
        <f>1+((DX34-MIN(industry_experiences))*(4)/(MAX(industry_experiences) - MIN(industry_experiences)))</f>
        <v>1.857142857</v>
      </c>
      <c r="ET34" s="123">
        <f>1+((DY34-MIN(previous_startups))*(4)/(MAX(previous_startups) - MIN(previous_startups)))</f>
        <v>1</v>
      </c>
      <c r="EU34" s="123">
        <f>1+((DZ34-MIN(exits))*(4)/(MAX(exits) - MIN(exits)))</f>
        <v>1</v>
      </c>
      <c r="EV34" s="119">
        <f t="shared" si="26"/>
        <v>3.857142857</v>
      </c>
      <c r="EW34" s="124">
        <f>1+((EV34-MIN(team_ratings_sums))*(4)/(MAX(team_ratings_sums) - MIN(team_ratings_sums)))</f>
        <v>1.469565217</v>
      </c>
      <c r="EX34" s="116" t="str">
        <f t="shared" si="27"/>
        <v>35 - 54</v>
      </c>
      <c r="EY34" s="125">
        <f t="shared" si="28"/>
        <v>0.6849315068</v>
      </c>
      <c r="EZ34" s="116">
        <f t="shared" si="29"/>
        <v>2</v>
      </c>
      <c r="FA34" s="125">
        <f t="shared" si="30"/>
        <v>0.4520547945</v>
      </c>
      <c r="FB34" s="116">
        <f t="shared" si="31"/>
        <v>5</v>
      </c>
      <c r="FC34" s="125">
        <f t="shared" si="32"/>
        <v>0.1369863014</v>
      </c>
      <c r="FD34" s="116" t="str">
        <f t="shared" si="33"/>
        <v>No</v>
      </c>
      <c r="FE34" s="125">
        <f t="shared" si="34"/>
        <v>0.7534246575</v>
      </c>
      <c r="FF34" s="116" t="str">
        <f t="shared" ref="FF34:FH34" si="118">BJ34</f>
        <v>No</v>
      </c>
      <c r="FG34" s="116" t="str">
        <f t="shared" si="118"/>
        <v>Yes</v>
      </c>
      <c r="FH34" s="116" t="str">
        <f t="shared" si="118"/>
        <v>No</v>
      </c>
      <c r="FI34" s="112"/>
      <c r="FJ34" s="116" t="str">
        <f t="shared" si="36"/>
        <v>Transactional</v>
      </c>
      <c r="FK34" s="125">
        <f t="shared" si="37"/>
        <v>0.602739726</v>
      </c>
      <c r="FL34" s="116" t="str">
        <f t="shared" si="38"/>
        <v>B2C</v>
      </c>
      <c r="FM34" s="125">
        <f t="shared" si="39"/>
        <v>0.397260274</v>
      </c>
      <c r="FN34" s="116" t="str">
        <f t="shared" si="40"/>
        <v>Low</v>
      </c>
      <c r="FO34" s="125">
        <f t="shared" si="41"/>
        <v>0.4383561644</v>
      </c>
      <c r="FP34" s="116" t="str">
        <f t="shared" si="42"/>
        <v>Low</v>
      </c>
      <c r="FQ34" s="125">
        <f t="shared" si="43"/>
        <v>0.3561643836</v>
      </c>
      <c r="FR34" s="112"/>
      <c r="FS34" s="123">
        <f t="shared" si="44"/>
        <v>5</v>
      </c>
      <c r="FT34" s="123">
        <f t="shared" si="45"/>
        <v>2.8</v>
      </c>
      <c r="FU34" s="123">
        <f t="shared" si="46"/>
        <v>5</v>
      </c>
      <c r="FV34" s="123">
        <f t="shared" si="47"/>
        <v>3.7</v>
      </c>
      <c r="FW34" s="119">
        <f t="shared" si="48"/>
        <v>16.5</v>
      </c>
      <c r="FX34" s="115">
        <f>1+((FW34-MIN(performance_ratings_sums))*(4)/(MAX(performance_ratings_sums) - MIN(performance_ratings_sums)))</f>
        <v>4.663551402</v>
      </c>
      <c r="FY34" s="116" t="str">
        <f t="shared" si="49"/>
        <v>Pre-Profit</v>
      </c>
      <c r="FZ34" s="126">
        <f t="shared" si="50"/>
        <v>0.4931506849</v>
      </c>
      <c r="GA34" s="112"/>
      <c r="GB34" s="127">
        <f t="shared" si="51"/>
        <v>1</v>
      </c>
      <c r="GC34" s="116" t="str">
        <f t="shared" si="52"/>
        <v>No</v>
      </c>
      <c r="GD34" s="126">
        <f t="shared" si="53"/>
        <v>0.7671232877</v>
      </c>
      <c r="GE34" s="126" t="str">
        <f t="shared" si="54"/>
        <v>Low</v>
      </c>
      <c r="GF34" s="126">
        <f t="shared" si="55"/>
        <v>0.5479452055</v>
      </c>
      <c r="GG34" s="126" t="str">
        <f t="shared" si="56"/>
        <v>High</v>
      </c>
      <c r="GH34" s="126">
        <f t="shared" si="57"/>
        <v>0.8082191781</v>
      </c>
      <c r="GI34" s="112"/>
      <c r="GJ34" s="116"/>
      <c r="GK34" s="119">
        <f t="shared" si="58"/>
        <v>13.25592364</v>
      </c>
      <c r="GL34" s="128">
        <f>1+((GK34-MIN(ratings_sums))*(4)/(MAX(ratings_sums) - MIN(ratings_sums)))</f>
        <v>2.860043378</v>
      </c>
    </row>
    <row r="35" ht="15.75" customHeight="1">
      <c r="A35" s="100" t="s">
        <v>681</v>
      </c>
      <c r="B35" s="149">
        <v>1804169.0</v>
      </c>
      <c r="C35" s="100" t="s">
        <v>694</v>
      </c>
      <c r="D35" s="147"/>
      <c r="E35" s="100" t="s">
        <v>392</v>
      </c>
      <c r="F35" s="150" t="s">
        <v>695</v>
      </c>
      <c r="G35" s="150" t="s">
        <v>696</v>
      </c>
      <c r="H35" s="151">
        <v>43893.0</v>
      </c>
      <c r="I35" s="100" t="s">
        <v>697</v>
      </c>
      <c r="J35" s="100" t="s">
        <v>694</v>
      </c>
      <c r="K35" s="100" t="s">
        <v>153</v>
      </c>
      <c r="L35" s="100" t="s">
        <v>390</v>
      </c>
      <c r="M35" s="100" t="s">
        <v>31</v>
      </c>
      <c r="N35" s="100" t="s">
        <v>82</v>
      </c>
      <c r="O35" s="100" t="s">
        <v>35</v>
      </c>
      <c r="P35" s="90"/>
      <c r="Q35" s="100" t="s">
        <v>121</v>
      </c>
      <c r="R35" s="93"/>
      <c r="S35" s="94"/>
      <c r="T35" s="160">
        <v>5000000.0</v>
      </c>
      <c r="U35" s="96"/>
      <c r="V35" s="97"/>
      <c r="W35" s="96"/>
      <c r="X35" s="154">
        <v>5000000.0</v>
      </c>
      <c r="Y35" s="155" t="s">
        <v>130</v>
      </c>
      <c r="Z35" s="100" t="s">
        <v>36</v>
      </c>
      <c r="AA35" s="100" t="s">
        <v>87</v>
      </c>
      <c r="AB35" s="100" t="s">
        <v>38</v>
      </c>
      <c r="AC35" s="100" t="s">
        <v>469</v>
      </c>
      <c r="AD35" s="100" t="s">
        <v>89</v>
      </c>
      <c r="AE35" s="100" t="s">
        <v>39</v>
      </c>
      <c r="AF35" s="90"/>
      <c r="AG35" s="156">
        <v>1.27E10</v>
      </c>
      <c r="AH35" s="149" t="s">
        <v>174</v>
      </c>
      <c r="AI35" s="156">
        <v>1.0E8</v>
      </c>
      <c r="AJ35" s="149" t="s">
        <v>326</v>
      </c>
      <c r="AK35" s="157">
        <v>0.04</v>
      </c>
      <c r="AL35" s="149" t="s">
        <v>95</v>
      </c>
      <c r="AM35" s="149">
        <v>50.0</v>
      </c>
      <c r="AN35" s="100" t="s">
        <v>89</v>
      </c>
      <c r="AO35" s="100" t="s">
        <v>89</v>
      </c>
      <c r="AP35" s="100" t="s">
        <v>40</v>
      </c>
      <c r="AQ35" s="100" t="s">
        <v>89</v>
      </c>
      <c r="AR35" s="100" t="s">
        <v>39</v>
      </c>
      <c r="AS35" s="100" t="s">
        <v>469</v>
      </c>
      <c r="AT35" s="100" t="s">
        <v>469</v>
      </c>
      <c r="AU35" s="100" t="s">
        <v>493</v>
      </c>
      <c r="AV35" s="100" t="s">
        <v>493</v>
      </c>
      <c r="AW35" s="152">
        <v>1639949.0</v>
      </c>
      <c r="AX35" s="152" t="s">
        <v>72</v>
      </c>
      <c r="AY35" s="152">
        <v>0.0</v>
      </c>
      <c r="AZ35" s="156">
        <v>219000.0</v>
      </c>
      <c r="BA35" s="149" t="s">
        <v>70</v>
      </c>
      <c r="BB35" s="158">
        <v>1.0</v>
      </c>
      <c r="BC35" s="149" t="s">
        <v>305</v>
      </c>
      <c r="BD35" s="100" t="s">
        <v>124</v>
      </c>
      <c r="BE35" s="90"/>
      <c r="BF35" s="100" t="s">
        <v>469</v>
      </c>
      <c r="BG35" s="149">
        <v>0.0</v>
      </c>
      <c r="BH35" s="149">
        <v>4.0</v>
      </c>
      <c r="BI35" s="100" t="s">
        <v>493</v>
      </c>
      <c r="BJ35" s="100" t="s">
        <v>493</v>
      </c>
      <c r="BK35" s="100" t="s">
        <v>469</v>
      </c>
      <c r="BL35" s="100" t="s">
        <v>469</v>
      </c>
      <c r="BM35" s="149">
        <v>3.0</v>
      </c>
      <c r="BN35" s="149">
        <v>4.0</v>
      </c>
      <c r="BO35" s="149">
        <v>0.0</v>
      </c>
      <c r="BP35" s="149">
        <v>0.0</v>
      </c>
      <c r="BQ35" s="104"/>
      <c r="BR35" s="149">
        <v>8.0</v>
      </c>
      <c r="BS35" s="149">
        <v>1.0</v>
      </c>
      <c r="BT35" s="149">
        <v>0.0</v>
      </c>
      <c r="BU35" s="159">
        <v>35.0</v>
      </c>
      <c r="BV35" s="100" t="s">
        <v>469</v>
      </c>
      <c r="BW35" s="104"/>
      <c r="BX35" s="100">
        <v>2.0</v>
      </c>
      <c r="BY35" s="100">
        <v>0.0</v>
      </c>
      <c r="BZ35" s="100">
        <v>0.0</v>
      </c>
      <c r="CA35" s="100">
        <v>35.0</v>
      </c>
      <c r="CB35" s="100" t="s">
        <v>469</v>
      </c>
      <c r="CC35" s="104"/>
      <c r="CD35" s="100">
        <v>5.0</v>
      </c>
      <c r="CE35" s="100">
        <v>0.0</v>
      </c>
      <c r="CF35" s="100">
        <v>0.0</v>
      </c>
      <c r="CG35" s="100">
        <v>35.0</v>
      </c>
      <c r="CH35" s="100" t="s">
        <v>469</v>
      </c>
      <c r="CI35" s="104"/>
      <c r="CJ35" s="100">
        <v>3.0</v>
      </c>
      <c r="CK35" s="100">
        <v>0.0</v>
      </c>
      <c r="CL35" s="100">
        <v>0.0</v>
      </c>
      <c r="CM35" s="100">
        <v>35.0</v>
      </c>
      <c r="CN35" s="100" t="s">
        <v>469</v>
      </c>
      <c r="CO35" s="104"/>
      <c r="CP35" s="105"/>
      <c r="CQ35" s="105"/>
      <c r="CR35" s="105"/>
      <c r="CS35" s="105"/>
      <c r="CT35" s="87"/>
      <c r="CU35" s="104"/>
      <c r="CV35" s="105"/>
      <c r="CW35" s="105"/>
      <c r="CX35" s="105"/>
      <c r="CY35" s="105"/>
      <c r="CZ35" s="87"/>
      <c r="DA35" s="104"/>
      <c r="DB35" s="105"/>
      <c r="DC35" s="105"/>
      <c r="DD35" s="105"/>
      <c r="DE35" s="105"/>
      <c r="DF35" s="87"/>
      <c r="DG35" s="104"/>
      <c r="DH35" s="105"/>
      <c r="DI35" s="105"/>
      <c r="DJ35" s="105"/>
      <c r="DK35" s="105"/>
      <c r="DL35" s="87"/>
      <c r="DM35" s="104"/>
      <c r="DN35" s="105"/>
      <c r="DO35" s="105"/>
      <c r="DP35" s="105"/>
      <c r="DQ35" s="105"/>
      <c r="DR35" s="87"/>
      <c r="DS35" s="130"/>
      <c r="DT35" s="108"/>
      <c r="DU35" s="108"/>
      <c r="DW35" s="109"/>
      <c r="DX35" s="110">
        <f t="shared" si="13"/>
        <v>4.5</v>
      </c>
      <c r="DY35" s="111">
        <f t="shared" ref="DY35:DZ35" si="119">sum(BS35,BY35,CE35,CK35,CQ35,CW35,DC35,DI35,DO35)</f>
        <v>1</v>
      </c>
      <c r="DZ35" s="111">
        <f t="shared" si="119"/>
        <v>0</v>
      </c>
      <c r="EA35" s="110">
        <f t="shared" si="15"/>
        <v>35</v>
      </c>
      <c r="EB35" s="99" t="str">
        <f t="shared" si="16"/>
        <v>35 - 54</v>
      </c>
      <c r="EC35" s="112"/>
      <c r="ED35" s="113">
        <f t="shared" si="17"/>
        <v>4.4</v>
      </c>
      <c r="EE35" s="114" t="str">
        <f>IF(V35 &lt;&gt; "", 1+((V35-MIN(discount_rates))*(4)/(MAX(discount_rates) - MIN(discount_rates))), "")</f>
        <v/>
      </c>
      <c r="EF35" s="114" t="str">
        <f>IF(Q35="Debt", (1+((S35-MIN(interest_rates))*(4)/(MAX(interest_rates) - MIN(interest_rates)))), "")</f>
        <v/>
      </c>
      <c r="EG35" s="114" t="str">
        <f>IF(OR(Q35="Revenue Share", Q35="Profit Share"), (1+((R35-MIN(return_mutiples))*(4)/(MAX(return_mutiples) - MIN(return_mutiples)))), "")</f>
        <v/>
      </c>
      <c r="EH35" s="115">
        <f t="shared" si="18"/>
        <v>4.4</v>
      </c>
      <c r="EI35" s="116" t="str">
        <f t="shared" si="19"/>
        <v>Equity - Common</v>
      </c>
      <c r="EJ35" s="117">
        <f t="shared" si="20"/>
        <v>0.3287671233</v>
      </c>
      <c r="EK35" s="116" t="str">
        <f t="shared" si="21"/>
        <v>Early</v>
      </c>
      <c r="EL35" s="112"/>
      <c r="EM35" s="118">
        <f t="shared" si="22"/>
        <v>1.9</v>
      </c>
      <c r="EN35" s="118">
        <f t="shared" si="23"/>
        <v>1.7</v>
      </c>
      <c r="EO35" s="119">
        <f t="shared" si="24"/>
        <v>3.6</v>
      </c>
      <c r="EP35" s="115">
        <f>1+((EO35-MIN(market_ratings_sums))*(4)/(MAX(market_ratings_sums) - MIN(market_ratings_sums)))</f>
        <v>1.631578947</v>
      </c>
      <c r="EQ35" s="116" t="str">
        <f t="shared" si="25"/>
        <v>No</v>
      </c>
      <c r="ER35" s="112"/>
      <c r="ES35" s="123">
        <f>1+((DX35-MIN(industry_experiences))*(4)/(MAX(industry_experiences) - MIN(industry_experiences)))</f>
        <v>1.428571429</v>
      </c>
      <c r="ET35" s="123">
        <f>1+((DY35-MIN(previous_startups))*(4)/(MAX(previous_startups) - MIN(previous_startups)))</f>
        <v>1.444444444</v>
      </c>
      <c r="EU35" s="123">
        <f>1+((DZ35-MIN(exits))*(4)/(MAX(exits) - MIN(exits)))</f>
        <v>1</v>
      </c>
      <c r="EV35" s="119">
        <f t="shared" si="26"/>
        <v>3.873015873</v>
      </c>
      <c r="EW35" s="124">
        <f>1+((EV35-MIN(team_ratings_sums))*(4)/(MAX(team_ratings_sums) - MIN(team_ratings_sums)))</f>
        <v>1.47826087</v>
      </c>
      <c r="EX35" s="116" t="str">
        <f t="shared" si="27"/>
        <v>35 - 54</v>
      </c>
      <c r="EY35" s="125">
        <f t="shared" si="28"/>
        <v>0.6849315068</v>
      </c>
      <c r="EZ35" s="116">
        <f t="shared" si="29"/>
        <v>4</v>
      </c>
      <c r="FA35" s="125">
        <f t="shared" si="30"/>
        <v>0.05479452055</v>
      </c>
      <c r="FB35" s="116">
        <f t="shared" si="31"/>
        <v>4</v>
      </c>
      <c r="FC35" s="125">
        <f t="shared" si="32"/>
        <v>0.1369863014</v>
      </c>
      <c r="FD35" s="116" t="str">
        <f t="shared" si="33"/>
        <v>Yes</v>
      </c>
      <c r="FE35" s="125">
        <f t="shared" si="34"/>
        <v>0.2465753425</v>
      </c>
      <c r="FF35" s="116" t="str">
        <f t="shared" ref="FF35:FH35" si="120">BJ35</f>
        <v>Yes</v>
      </c>
      <c r="FG35" s="116" t="str">
        <f t="shared" si="120"/>
        <v>No</v>
      </c>
      <c r="FH35" s="116" t="str">
        <f t="shared" si="120"/>
        <v>No</v>
      </c>
      <c r="FI35" s="112"/>
      <c r="FJ35" s="116" t="str">
        <f t="shared" si="36"/>
        <v>Transactional</v>
      </c>
      <c r="FK35" s="125">
        <f t="shared" si="37"/>
        <v>0.602739726</v>
      </c>
      <c r="FL35" s="116" t="str">
        <f t="shared" si="38"/>
        <v>B2C</v>
      </c>
      <c r="FM35" s="125">
        <f t="shared" si="39"/>
        <v>0.397260274</v>
      </c>
      <c r="FN35" s="116" t="str">
        <f t="shared" si="40"/>
        <v>Low</v>
      </c>
      <c r="FO35" s="125">
        <f t="shared" si="41"/>
        <v>0.4383561644</v>
      </c>
      <c r="FP35" s="116" t="str">
        <f t="shared" si="42"/>
        <v>High</v>
      </c>
      <c r="FQ35" s="125">
        <f t="shared" si="43"/>
        <v>0.6438356164</v>
      </c>
      <c r="FR35" s="112"/>
      <c r="FS35" s="123">
        <f t="shared" si="44"/>
        <v>5</v>
      </c>
      <c r="FT35" s="123">
        <f t="shared" si="45"/>
        <v>3.2</v>
      </c>
      <c r="FU35" s="123">
        <f t="shared" si="46"/>
        <v>1</v>
      </c>
      <c r="FV35" s="123">
        <f t="shared" si="47"/>
        <v>3.7</v>
      </c>
      <c r="FW35" s="119">
        <f t="shared" si="48"/>
        <v>12.9</v>
      </c>
      <c r="FX35" s="115">
        <f>1+((FW35-MIN(performance_ratings_sums))*(4)/(MAX(performance_ratings_sums) - MIN(performance_ratings_sums)))</f>
        <v>3.317757009</v>
      </c>
      <c r="FY35" s="116" t="str">
        <f t="shared" si="49"/>
        <v>Profitable</v>
      </c>
      <c r="FZ35" s="126">
        <f t="shared" si="50"/>
        <v>0.06849315068</v>
      </c>
      <c r="GA35" s="112"/>
      <c r="GB35" s="127">
        <f t="shared" si="51"/>
        <v>1</v>
      </c>
      <c r="GC35" s="116" t="str">
        <f t="shared" si="52"/>
        <v>No</v>
      </c>
      <c r="GD35" s="126">
        <f t="shared" si="53"/>
        <v>0.7671232877</v>
      </c>
      <c r="GE35" s="126" t="str">
        <f t="shared" si="54"/>
        <v>Low</v>
      </c>
      <c r="GF35" s="126">
        <f t="shared" si="55"/>
        <v>0.5479452055</v>
      </c>
      <c r="GG35" s="126" t="str">
        <f t="shared" si="56"/>
        <v>High</v>
      </c>
      <c r="GH35" s="126">
        <f t="shared" si="57"/>
        <v>0.8082191781</v>
      </c>
      <c r="GI35" s="112"/>
      <c r="GJ35" s="116"/>
      <c r="GK35" s="119">
        <f t="shared" si="58"/>
        <v>11.82759683</v>
      </c>
      <c r="GL35" s="128">
        <f>1+((GK35-MIN(ratings_sums))*(4)/(MAX(ratings_sums) - MIN(ratings_sums)))</f>
        <v>2.421775626</v>
      </c>
    </row>
    <row r="36" ht="15.75" customHeight="1">
      <c r="A36" s="100" t="s">
        <v>681</v>
      </c>
      <c r="B36" s="149">
        <v>1759081.0</v>
      </c>
      <c r="C36" s="100" t="s">
        <v>698</v>
      </c>
      <c r="D36" s="147"/>
      <c r="E36" s="100" t="s">
        <v>381</v>
      </c>
      <c r="F36" s="150" t="s">
        <v>699</v>
      </c>
      <c r="G36" s="150" t="s">
        <v>700</v>
      </c>
      <c r="H36" s="151">
        <v>43921.0</v>
      </c>
      <c r="I36" s="100" t="s">
        <v>701</v>
      </c>
      <c r="J36" s="100" t="s">
        <v>698</v>
      </c>
      <c r="K36" s="100" t="s">
        <v>530</v>
      </c>
      <c r="L36" s="100" t="s">
        <v>379</v>
      </c>
      <c r="M36" s="100" t="s">
        <v>31</v>
      </c>
      <c r="N36" s="100" t="s">
        <v>82</v>
      </c>
      <c r="O36" s="100" t="s">
        <v>35</v>
      </c>
      <c r="P36" s="90"/>
      <c r="Q36" s="100" t="s">
        <v>121</v>
      </c>
      <c r="R36" s="93"/>
      <c r="S36" s="94"/>
      <c r="T36" s="160">
        <v>2.5E7</v>
      </c>
      <c r="U36" s="96"/>
      <c r="V36" s="97"/>
      <c r="W36" s="96"/>
      <c r="X36" s="154">
        <v>2.5E7</v>
      </c>
      <c r="Y36" s="155" t="s">
        <v>345</v>
      </c>
      <c r="Z36" s="100" t="s">
        <v>86</v>
      </c>
      <c r="AA36" s="100" t="s">
        <v>37</v>
      </c>
      <c r="AB36" s="100" t="s">
        <v>88</v>
      </c>
      <c r="AC36" s="100" t="s">
        <v>493</v>
      </c>
      <c r="AD36" s="100" t="s">
        <v>39</v>
      </c>
      <c r="AE36" s="100" t="s">
        <v>39</v>
      </c>
      <c r="AF36" s="90"/>
      <c r="AG36" s="156">
        <v>2.5E10</v>
      </c>
      <c r="AH36" s="149" t="s">
        <v>160</v>
      </c>
      <c r="AI36" s="156">
        <v>1.0E9</v>
      </c>
      <c r="AJ36" s="149" t="s">
        <v>232</v>
      </c>
      <c r="AK36" s="157">
        <v>0.09</v>
      </c>
      <c r="AL36" s="149" t="s">
        <v>95</v>
      </c>
      <c r="AM36" s="149">
        <v>5.0</v>
      </c>
      <c r="AN36" s="100" t="s">
        <v>39</v>
      </c>
      <c r="AO36" s="100" t="s">
        <v>89</v>
      </c>
      <c r="AP36" s="100" t="s">
        <v>90</v>
      </c>
      <c r="AQ36" s="100" t="s">
        <v>39</v>
      </c>
      <c r="AR36" s="100" t="s">
        <v>89</v>
      </c>
      <c r="AS36" s="100" t="s">
        <v>469</v>
      </c>
      <c r="AT36" s="100" t="s">
        <v>469</v>
      </c>
      <c r="AU36" s="100" t="s">
        <v>493</v>
      </c>
      <c r="AV36" s="100" t="s">
        <v>493</v>
      </c>
      <c r="AW36" s="152">
        <v>0.0</v>
      </c>
      <c r="AX36" s="152" t="s">
        <v>62</v>
      </c>
      <c r="AY36" s="152">
        <v>61642.0</v>
      </c>
      <c r="AZ36" s="156">
        <v>1800000.0</v>
      </c>
      <c r="BA36" s="149" t="s">
        <v>72</v>
      </c>
      <c r="BB36" s="158">
        <v>0.0342</v>
      </c>
      <c r="BC36" s="149" t="s">
        <v>76</v>
      </c>
      <c r="BD36" s="100" t="s">
        <v>107</v>
      </c>
      <c r="BE36" s="90"/>
      <c r="BF36" s="100" t="s">
        <v>493</v>
      </c>
      <c r="BG36" s="149">
        <v>1.0</v>
      </c>
      <c r="BH36" s="149">
        <v>1.0</v>
      </c>
      <c r="BI36" s="100" t="s">
        <v>469</v>
      </c>
      <c r="BJ36" s="100" t="s">
        <v>493</v>
      </c>
      <c r="BK36" s="100" t="s">
        <v>493</v>
      </c>
      <c r="BL36" s="100" t="s">
        <v>469</v>
      </c>
      <c r="BM36" s="149">
        <v>3.0</v>
      </c>
      <c r="BN36" s="149">
        <v>1.0</v>
      </c>
      <c r="BO36" s="149">
        <v>2.0</v>
      </c>
      <c r="BP36" s="149">
        <v>0.0</v>
      </c>
      <c r="BQ36" s="104"/>
      <c r="BR36" s="149">
        <v>5.0</v>
      </c>
      <c r="BS36" s="149">
        <v>3.0</v>
      </c>
      <c r="BT36" s="149">
        <v>0.0</v>
      </c>
      <c r="BU36" s="159">
        <v>41.0</v>
      </c>
      <c r="BV36" s="100" t="s">
        <v>469</v>
      </c>
      <c r="BW36" s="104"/>
      <c r="BX36" s="87"/>
      <c r="BY36" s="87"/>
      <c r="BZ36" s="87"/>
      <c r="CA36" s="87"/>
      <c r="CB36" s="87"/>
      <c r="CC36" s="104"/>
      <c r="CD36" s="87"/>
      <c r="CE36" s="87"/>
      <c r="CF36" s="87"/>
      <c r="CG36" s="87"/>
      <c r="CH36" s="87"/>
      <c r="CI36" s="104"/>
      <c r="CJ36" s="87"/>
      <c r="CK36" s="87"/>
      <c r="CL36" s="87"/>
      <c r="CM36" s="87"/>
      <c r="CN36" s="87"/>
      <c r="CO36" s="104"/>
      <c r="CP36" s="105"/>
      <c r="CQ36" s="105"/>
      <c r="CR36" s="105"/>
      <c r="CS36" s="105"/>
      <c r="CT36" s="87"/>
      <c r="CU36" s="104"/>
      <c r="CV36" s="105"/>
      <c r="CW36" s="105"/>
      <c r="CX36" s="105"/>
      <c r="CY36" s="105"/>
      <c r="CZ36" s="87"/>
      <c r="DA36" s="104"/>
      <c r="DB36" s="105"/>
      <c r="DC36" s="105"/>
      <c r="DD36" s="105"/>
      <c r="DE36" s="105"/>
      <c r="DF36" s="87"/>
      <c r="DG36" s="104"/>
      <c r="DH36" s="105"/>
      <c r="DI36" s="105"/>
      <c r="DJ36" s="105"/>
      <c r="DK36" s="105"/>
      <c r="DL36" s="87"/>
      <c r="DM36" s="104"/>
      <c r="DN36" s="105"/>
      <c r="DO36" s="105"/>
      <c r="DP36" s="105"/>
      <c r="DQ36" s="105"/>
      <c r="DR36" s="87"/>
      <c r="DS36" s="130"/>
      <c r="DT36" s="108"/>
      <c r="DU36" s="108"/>
      <c r="DW36" s="109"/>
      <c r="DX36" s="110">
        <f t="shared" si="13"/>
        <v>5</v>
      </c>
      <c r="DY36" s="111">
        <f t="shared" ref="DY36:DZ36" si="121">sum(BS36,BY36,CE36,CK36,CQ36,CW36,DC36,DI36,DO36)</f>
        <v>3</v>
      </c>
      <c r="DZ36" s="111">
        <f t="shared" si="121"/>
        <v>0</v>
      </c>
      <c r="EA36" s="110">
        <f t="shared" si="15"/>
        <v>41</v>
      </c>
      <c r="EB36" s="99" t="str">
        <f t="shared" si="16"/>
        <v>35 - 54</v>
      </c>
      <c r="EC36" s="112"/>
      <c r="ED36" s="113">
        <f t="shared" si="17"/>
        <v>2.5</v>
      </c>
      <c r="EE36" s="114" t="str">
        <f>IF(V36 &lt;&gt; "", 1+((V36-MIN(discount_rates))*(4)/(MAX(discount_rates) - MIN(discount_rates))), "")</f>
        <v/>
      </c>
      <c r="EF36" s="114" t="str">
        <f>IF(Q36="Debt", (1+((S36-MIN(interest_rates))*(4)/(MAX(interest_rates) - MIN(interest_rates)))), "")</f>
        <v/>
      </c>
      <c r="EG36" s="114" t="str">
        <f>IF(OR(Q36="Revenue Share", Q36="Profit Share"), (1+((R36-MIN(return_mutiples))*(4)/(MAX(return_mutiples) - MIN(return_mutiples)))), "")</f>
        <v/>
      </c>
      <c r="EH36" s="115">
        <f t="shared" si="18"/>
        <v>2.5</v>
      </c>
      <c r="EI36" s="116" t="str">
        <f t="shared" si="19"/>
        <v>Equity - Common</v>
      </c>
      <c r="EJ36" s="117">
        <f t="shared" si="20"/>
        <v>0.3287671233</v>
      </c>
      <c r="EK36" s="116" t="str">
        <f t="shared" si="21"/>
        <v>Early</v>
      </c>
      <c r="EL36" s="112"/>
      <c r="EM36" s="118">
        <f t="shared" si="22"/>
        <v>2.7</v>
      </c>
      <c r="EN36" s="118">
        <f t="shared" si="23"/>
        <v>1.7</v>
      </c>
      <c r="EO36" s="119">
        <f t="shared" si="24"/>
        <v>4.4</v>
      </c>
      <c r="EP36" s="115">
        <f>1+((EO36-MIN(market_ratings_sums))*(4)/(MAX(market_ratings_sums) - MIN(market_ratings_sums)))</f>
        <v>2.192982456</v>
      </c>
      <c r="EQ36" s="116" t="str">
        <f t="shared" si="25"/>
        <v>No</v>
      </c>
      <c r="ER36" s="112"/>
      <c r="ES36" s="123">
        <f>1+((DX36-MIN(industry_experiences))*(4)/(MAX(industry_experiences) - MIN(industry_experiences)))</f>
        <v>1.476190476</v>
      </c>
      <c r="ET36" s="123">
        <f>1+((DY36-MIN(previous_startups))*(4)/(MAX(previous_startups) - MIN(previous_startups)))</f>
        <v>2.333333333</v>
      </c>
      <c r="EU36" s="123">
        <f>1+((DZ36-MIN(exits))*(4)/(MAX(exits) - MIN(exits)))</f>
        <v>1</v>
      </c>
      <c r="EV36" s="119">
        <f t="shared" si="26"/>
        <v>4.80952381</v>
      </c>
      <c r="EW36" s="124">
        <f>1+((EV36-MIN(team_ratings_sums))*(4)/(MAX(team_ratings_sums) - MIN(team_ratings_sums)))</f>
        <v>1.991304348</v>
      </c>
      <c r="EX36" s="116" t="str">
        <f t="shared" si="27"/>
        <v>35 - 54</v>
      </c>
      <c r="EY36" s="125">
        <f t="shared" si="28"/>
        <v>0.6849315068</v>
      </c>
      <c r="EZ36" s="116">
        <f t="shared" si="29"/>
        <v>1</v>
      </c>
      <c r="FA36" s="125">
        <f t="shared" si="30"/>
        <v>0.4383561644</v>
      </c>
      <c r="FB36" s="116">
        <f t="shared" si="31"/>
        <v>1</v>
      </c>
      <c r="FC36" s="125">
        <f t="shared" si="32"/>
        <v>0.08219178082</v>
      </c>
      <c r="FD36" s="116" t="str">
        <f t="shared" si="33"/>
        <v>No</v>
      </c>
      <c r="FE36" s="125">
        <f t="shared" si="34"/>
        <v>0.7534246575</v>
      </c>
      <c r="FF36" s="116" t="str">
        <f t="shared" ref="FF36:FH36" si="122">BJ36</f>
        <v>Yes</v>
      </c>
      <c r="FG36" s="116" t="str">
        <f t="shared" si="122"/>
        <v>Yes</v>
      </c>
      <c r="FH36" s="116" t="str">
        <f t="shared" si="122"/>
        <v>No</v>
      </c>
      <c r="FI36" s="112"/>
      <c r="FJ36" s="116" t="str">
        <f t="shared" si="36"/>
        <v>Recurring</v>
      </c>
      <c r="FK36" s="125">
        <f t="shared" si="37"/>
        <v>0.397260274</v>
      </c>
      <c r="FL36" s="116" t="str">
        <f t="shared" si="38"/>
        <v>B2B</v>
      </c>
      <c r="FM36" s="125">
        <f t="shared" si="39"/>
        <v>0.2465753425</v>
      </c>
      <c r="FN36" s="116" t="str">
        <f t="shared" si="40"/>
        <v>High</v>
      </c>
      <c r="FO36" s="125">
        <f t="shared" si="41"/>
        <v>0.5616438356</v>
      </c>
      <c r="FP36" s="116" t="str">
        <f t="shared" si="42"/>
        <v>High</v>
      </c>
      <c r="FQ36" s="125">
        <f t="shared" si="43"/>
        <v>0.6438356164</v>
      </c>
      <c r="FR36" s="112"/>
      <c r="FS36" s="123">
        <f t="shared" si="44"/>
        <v>5</v>
      </c>
      <c r="FT36" s="123">
        <f t="shared" si="45"/>
        <v>1</v>
      </c>
      <c r="FU36" s="123">
        <f t="shared" si="46"/>
        <v>5</v>
      </c>
      <c r="FV36" s="123">
        <f t="shared" si="47"/>
        <v>2.8</v>
      </c>
      <c r="FW36" s="119">
        <f t="shared" si="48"/>
        <v>13.8</v>
      </c>
      <c r="FX36" s="115">
        <f>1+((FW36-MIN(performance_ratings_sums))*(4)/(MAX(performance_ratings_sums) - MIN(performance_ratings_sums)))</f>
        <v>3.654205607</v>
      </c>
      <c r="FY36" s="116" t="str">
        <f t="shared" si="49"/>
        <v>Pre-Profit</v>
      </c>
      <c r="FZ36" s="126">
        <f t="shared" si="50"/>
        <v>0.4931506849</v>
      </c>
      <c r="GA36" s="112"/>
      <c r="GB36" s="127">
        <f t="shared" si="51"/>
        <v>3</v>
      </c>
      <c r="GC36" s="116" t="str">
        <f t="shared" si="52"/>
        <v>No</v>
      </c>
      <c r="GD36" s="126">
        <f t="shared" si="53"/>
        <v>0.7671232877</v>
      </c>
      <c r="GE36" s="126" t="str">
        <f t="shared" si="54"/>
        <v>High</v>
      </c>
      <c r="GF36" s="126">
        <f t="shared" si="55"/>
        <v>0.4520547945</v>
      </c>
      <c r="GG36" s="126" t="str">
        <f t="shared" si="56"/>
        <v>Low</v>
      </c>
      <c r="GH36" s="126">
        <f t="shared" si="57"/>
        <v>0.1917808219</v>
      </c>
      <c r="GI36" s="112"/>
      <c r="GJ36" s="116"/>
      <c r="GK36" s="119">
        <f t="shared" si="58"/>
        <v>13.33849241</v>
      </c>
      <c r="GL36" s="128">
        <f>1+((GK36-MIN(ratings_sums))*(4)/(MAX(ratings_sums) - MIN(ratings_sums)))</f>
        <v>2.885378778</v>
      </c>
    </row>
    <row r="37" ht="15.75" customHeight="1">
      <c r="A37" s="161" t="s">
        <v>702</v>
      </c>
      <c r="B37" s="15">
        <v>1774152.0</v>
      </c>
      <c r="C37" s="162" t="s">
        <v>703</v>
      </c>
      <c r="D37" s="163">
        <v>43691.38402777778</v>
      </c>
      <c r="E37" s="15" t="s">
        <v>369</v>
      </c>
      <c r="F37" s="164" t="s">
        <v>704</v>
      </c>
      <c r="G37" s="164" t="s">
        <v>705</v>
      </c>
      <c r="H37" s="165">
        <v>43818.0</v>
      </c>
      <c r="I37" s="162" t="s">
        <v>706</v>
      </c>
      <c r="J37" s="162" t="s">
        <v>707</v>
      </c>
      <c r="K37" s="15" t="s">
        <v>461</v>
      </c>
      <c r="L37" s="15" t="s">
        <v>349</v>
      </c>
      <c r="M37" s="15" t="s">
        <v>31</v>
      </c>
      <c r="N37" s="15" t="s">
        <v>32</v>
      </c>
      <c r="O37" s="15" t="s">
        <v>35</v>
      </c>
      <c r="Q37" s="15" t="s">
        <v>195</v>
      </c>
      <c r="R37" s="166"/>
      <c r="S37" s="120"/>
      <c r="T37" s="69"/>
      <c r="U37" s="69">
        <v>3.5E7</v>
      </c>
      <c r="V37" s="132">
        <v>0.0</v>
      </c>
      <c r="W37" s="96">
        <f t="shared" ref="W37:W274" si="125">IF(U37 &lt;&gt; 0, U37-(U37*V37), "")</f>
        <v>35000000</v>
      </c>
      <c r="X37" s="98">
        <f t="shared" ref="X37:X274" si="126">max(T37,W37)</f>
        <v>35000000</v>
      </c>
      <c r="Y37" s="99" t="str">
        <f t="shared" ref="Y37:Y274" si="127">IFS(
X37&lt;1000000, "&lt; $1M",
X37&lt;=2000000, "$1M - $2M",
X37&lt;=4000000, "$2M - $4M",
X37&lt;=6000000, "$4M - $6M",
X37&lt;=8000000, "$6M - $8M",
X37&lt;=10000000, "$8M - $10M",
X37&lt;=12000000, "$10M - $12M",
X37&lt;=14000000, "$12M - $14M",
X37&lt;=16000000, "$14M - $16M",
X37&lt;=18000000, "$16M - $18M",
X37&lt;=20000000, "$18M - $20M",
X37&lt;=22000000, "$20M - $22M",
X37&lt;=24000000, "$22M - $24M",
X37&lt;=26000000, "$24M - $26M",
X37&lt;=28000000, "$26M - $28M",
X37&lt;=30000000, "$28M - $30M",
X37&lt;=32000000, "$30M - $32M",
X37&lt;=34000000, "$32M - $34M",
X37&lt;=36000000, "$34M - $36M",
X37&lt;=38000000, "$36M - $38M",
X37&lt;=40000000, "$38M - $40M",
X37&gt;40000000, "&lt; $40M")</f>
        <v>$34M - $36M</v>
      </c>
      <c r="Z37" s="15" t="s">
        <v>36</v>
      </c>
      <c r="AA37" s="15" t="s">
        <v>123</v>
      </c>
      <c r="AB37" s="15" t="s">
        <v>88</v>
      </c>
      <c r="AC37" s="15" t="s">
        <v>493</v>
      </c>
      <c r="AD37" s="15" t="s">
        <v>39</v>
      </c>
      <c r="AE37" s="15" t="s">
        <v>89</v>
      </c>
      <c r="AF37" s="15" t="s">
        <v>469</v>
      </c>
      <c r="AG37" s="69">
        <v>2.171922408E9</v>
      </c>
      <c r="AH37" s="97" t="str">
        <f t="shared" ref="AH37:AH274" si="128">IFS(
AG37&gt;=1000000000000, "&gt; $1T",
AG37&gt;=500000000000, "$500B-$1T",
AG37&gt;=250000000000, "$250B-$500B",
AG37&gt;=100000000000, "$100B-$250B",
AG37&gt;=50000000000, "$50B-$100B",
AG37&gt;=25000000000, "$25B-$50B",
AG37&gt;=10000000000, "$10B-$25B",
AG37&gt;=5000000000, "$5B-$10B",
AG37&gt;=1000000000, "$1B-$5B",
AG37&gt;=500000000, "$500M-$1B",
AG37&gt;=250000000, "$250M-$500M",
AG37&gt;=100000000, "$100M-$250M",
AG37&gt;=50000000, "$50M-$100M",
AG37&gt;=25000000, "$25M-$50M",
AG37&lt;25000000, "&lt; $25M")</f>
        <v>$1B-$5B</v>
      </c>
      <c r="AI37" s="69">
        <v>2.17192241E8</v>
      </c>
      <c r="AJ37" s="97" t="str">
        <f t="shared" ref="AJ37:AJ274" si="129">IFS(
AI37&gt;=1000000000000, "&gt; $1T",
AI37&gt;=500000000000, "$500B-$1T",
AI37&gt;=250000000000, "$250B-$500B",
AI37&gt;=100000000000, "$100B-$250B",
AI37&gt;=50000000000, "$50B-$100B",
AI37&gt;=25000000000, "$25B-$50B",
AI37&gt;=10000000000, "$10B-$25B",
AI37&gt;=5000000000, "$5B-$10B",
AI37&gt;=1000000000, "$1B-$5B",
AI37&gt;=500000000, "$500M-$1B",
AI37&gt;=250000000, "$250M-$500M",
AI37&gt;=100000000, "$100M-$250M",
AI37&gt;=50000000, "$50M-$100M",
AI37&gt;=25000000, "$25M-$50M",
AI37&lt;25000000, "&lt; $25M")</f>
        <v>$100M-$250M</v>
      </c>
      <c r="AK37" s="167">
        <v>0.235</v>
      </c>
      <c r="AL37" s="88" t="str">
        <f t="shared" ref="AL37:AL274" si="130">IFS(
AK37&lt;0, "&lt; 0% (Shrinking Market)",
AK37&lt;=0.1, "0%-10%",
AK37&lt;=0.2, "10%-20%",
AK37&lt;=0.3, "20%-30%",
AK37&lt;=0.4, "30%-40%",
AK37&lt;=0.5, "40%-50%",
AK37&gt;0.5, "&gt; 50%")</f>
        <v>20%-30%</v>
      </c>
      <c r="AM37" s="15">
        <v>20.0</v>
      </c>
      <c r="AN37" s="15" t="s">
        <v>39</v>
      </c>
      <c r="AO37" s="15" t="s">
        <v>89</v>
      </c>
      <c r="AP37" s="15" t="s">
        <v>40</v>
      </c>
      <c r="AQ37" s="168" t="s">
        <v>39</v>
      </c>
      <c r="AR37" s="168" t="s">
        <v>39</v>
      </c>
      <c r="AS37" s="15" t="s">
        <v>469</v>
      </c>
      <c r="AT37" s="15" t="s">
        <v>469</v>
      </c>
      <c r="AU37" s="15" t="s">
        <v>493</v>
      </c>
      <c r="AV37" s="15" t="s">
        <v>493</v>
      </c>
      <c r="AW37" s="69">
        <v>0.0</v>
      </c>
      <c r="AX37" s="96" t="str">
        <f t="shared" ref="AX37:AX274" si="131">IFS(
AW37&lt;10000, "&lt; $10K",
AW37&lt;=50000, "$10K - $50K",
AW37&lt;=100000, "$50K - $100K",
AW37&lt;=500000, "$100K - $500K",
AW37&lt;=1000000, "$500K - $1M",
AW37&lt;=2000000, "$1M - $2M",
AW37&lt;=3000000, "$2M - $3M",
AW37&lt;=4000000, "$3M - $4M",
AW37&lt;=5000000, "$4M - $5M",
AW37&gt;5000000, "&gt; $5M")</f>
        <v>&lt; $10K</v>
      </c>
      <c r="AY37" s="69">
        <v>8874.0</v>
      </c>
      <c r="AZ37" s="69">
        <v>2000000.0</v>
      </c>
      <c r="BA37" s="103" t="str">
        <f t="shared" ref="BA37:BA274" si="132">IFS(
AZ37&lt;10000, "&lt; $10K",
AZ37&lt;=50000, "$10K - $50K",
AZ37&lt;=100000, "$50K - $100K",
AZ37&lt;=500000, "$100K - $500K",
AZ37&lt;=1000000, "$500K - $1M",
AZ37&lt;=2000000, "$1M - $2M",
AZ37&lt;=3000000, "$2M - $3M",
AZ37&lt;=4000000, "$3M - $4M",
AZ37&lt;=5000000, "$4M - $5M",
AZ37&gt;5000000, "&gt; $5M")</f>
        <v>$1M - $2M</v>
      </c>
      <c r="BB37" s="103">
        <f t="shared" ref="BB37:BB274" si="133">IF(OR(AY37=0, AZ37=0), 1, AY37/AZ37)</f>
        <v>0.004437</v>
      </c>
      <c r="BC37" s="103" t="str">
        <f t="shared" ref="BC37:BC274" si="134">IFS(
BB37&lt;0.1, "&lt; 10%",
BB37&lt;=0.2, "10% - 20%",
BB37&lt;=0.3, "20% - 30%",
BB37&lt;=0.4, "30% - 40%",
BB37&lt;=0.5, "40% - 50%",
BB37&lt;=0.6, "50% - 60%",
BB37&lt;=0.7, "60% - 70%",
BB37&lt;=0.8, "70% - 80%",
BB37&lt;=0.9, "80% - 90%",
BB37&gt;0.9, "90% - 100%")</f>
        <v>&lt; 10%</v>
      </c>
      <c r="BD37" s="15" t="s">
        <v>107</v>
      </c>
      <c r="BF37" s="15" t="s">
        <v>493</v>
      </c>
      <c r="BG37" s="15">
        <v>10.0</v>
      </c>
      <c r="BH37" s="15">
        <v>2.0</v>
      </c>
      <c r="BI37" s="15" t="s">
        <v>493</v>
      </c>
      <c r="BJ37" s="15" t="s">
        <v>493</v>
      </c>
      <c r="BK37" s="15" t="s">
        <v>493</v>
      </c>
      <c r="BL37" s="15" t="s">
        <v>469</v>
      </c>
      <c r="BM37" s="15">
        <v>4.0</v>
      </c>
      <c r="BN37" s="15">
        <v>10.0</v>
      </c>
      <c r="BO37" s="15">
        <v>5.0</v>
      </c>
      <c r="BP37" s="15">
        <v>3.0</v>
      </c>
      <c r="BQ37" s="130"/>
      <c r="BR37" s="169">
        <v>6.0</v>
      </c>
      <c r="BS37" s="169">
        <v>1.0</v>
      </c>
      <c r="BT37" s="169">
        <v>0.0</v>
      </c>
      <c r="BU37" s="169">
        <v>31.0</v>
      </c>
      <c r="BV37" s="170" t="s">
        <v>493</v>
      </c>
      <c r="BW37" s="130"/>
      <c r="BX37" s="170">
        <v>0.0</v>
      </c>
      <c r="BY37" s="170">
        <v>0.0</v>
      </c>
      <c r="BZ37" s="170">
        <v>0.0</v>
      </c>
      <c r="CA37" s="170">
        <v>29.0</v>
      </c>
      <c r="CB37" s="170" t="s">
        <v>469</v>
      </c>
      <c r="CC37" s="130"/>
      <c r="CD37" s="171"/>
      <c r="CE37" s="171"/>
      <c r="CF37" s="171"/>
      <c r="CG37" s="171"/>
      <c r="CH37" s="171"/>
      <c r="CI37" s="130"/>
      <c r="CJ37" s="171"/>
      <c r="CK37" s="171"/>
      <c r="CL37" s="171"/>
      <c r="CM37" s="171"/>
      <c r="CN37" s="171"/>
      <c r="CO37" s="108"/>
      <c r="CP37" s="172"/>
      <c r="CQ37" s="172"/>
      <c r="CR37" s="172"/>
      <c r="CS37" s="172"/>
      <c r="CT37" s="171"/>
      <c r="CU37" s="130"/>
      <c r="CV37" s="172"/>
      <c r="CW37" s="172"/>
      <c r="CX37" s="172"/>
      <c r="CY37" s="172"/>
      <c r="CZ37" s="171"/>
      <c r="DA37" s="130"/>
      <c r="DB37" s="172"/>
      <c r="DC37" s="172"/>
      <c r="DD37" s="172"/>
      <c r="DE37" s="172"/>
      <c r="DF37" s="171"/>
      <c r="DG37" s="130"/>
      <c r="DH37" s="172"/>
      <c r="DI37" s="172"/>
      <c r="DJ37" s="172"/>
      <c r="DK37" s="172"/>
      <c r="DL37" s="171"/>
      <c r="DM37" s="130"/>
      <c r="DN37" s="172"/>
      <c r="DO37" s="172"/>
      <c r="DP37" s="172"/>
      <c r="DQ37" s="172"/>
      <c r="DR37" s="171"/>
      <c r="DS37" s="130"/>
      <c r="DT37" s="108"/>
      <c r="DU37" s="108"/>
      <c r="DW37" s="109"/>
      <c r="DX37" s="110">
        <f t="shared" si="13"/>
        <v>3</v>
      </c>
      <c r="DY37" s="111">
        <f t="shared" ref="DY37:DZ37" si="123">sum(BS37,BY37,CE37,CK37,CQ37,CW37,DC37,DI37,DO37)</f>
        <v>1</v>
      </c>
      <c r="DZ37" s="111">
        <f t="shared" si="123"/>
        <v>0</v>
      </c>
      <c r="EA37" s="110">
        <f t="shared" si="15"/>
        <v>30</v>
      </c>
      <c r="EB37" s="99" t="str">
        <f t="shared" si="16"/>
        <v>20 - 34</v>
      </c>
      <c r="EC37" s="112"/>
      <c r="ED37" s="113">
        <f t="shared" si="17"/>
        <v>1.6</v>
      </c>
      <c r="EE37" s="114">
        <f>IF(V37 &lt;&gt; "", 1+((V37-MIN(discount_rates))*(4)/(MAX(discount_rates) - MIN(discount_rates))), "")</f>
        <v>1</v>
      </c>
      <c r="EF37" s="114" t="str">
        <f>IF(Q37="Debt", (1+((S37-MIN(interest_rates))*(4)/(MAX(interest_rates) - MIN(interest_rates)))), "")</f>
        <v/>
      </c>
      <c r="EG37" s="114" t="str">
        <f>IF(OR(Q37="Revenue Share", Q37="Profit Share"), (1+((R37-MIN(return_mutiples))*(4)/(MAX(return_mutiples) - MIN(return_mutiples)))), "")</f>
        <v/>
      </c>
      <c r="EH37" s="115">
        <f t="shared" si="18"/>
        <v>1.6</v>
      </c>
      <c r="EI37" s="116" t="str">
        <f t="shared" si="19"/>
        <v>SAFE</v>
      </c>
      <c r="EJ37" s="117">
        <f t="shared" si="20"/>
        <v>0.3561643836</v>
      </c>
      <c r="EK37" s="116" t="str">
        <f t="shared" si="21"/>
        <v>Early</v>
      </c>
      <c r="EL37" s="112"/>
      <c r="EM37" s="118">
        <f t="shared" si="22"/>
        <v>1.9</v>
      </c>
      <c r="EN37" s="118">
        <f t="shared" si="23"/>
        <v>3</v>
      </c>
      <c r="EO37" s="119">
        <f t="shared" si="24"/>
        <v>4.9</v>
      </c>
      <c r="EP37" s="115">
        <f>1+((EO37-MIN(market_ratings_sums))*(4)/(MAX(market_ratings_sums) - MIN(market_ratings_sums)))</f>
        <v>2.543859649</v>
      </c>
      <c r="EQ37" s="116" t="str">
        <f t="shared" si="25"/>
        <v>No</v>
      </c>
      <c r="ER37" s="112"/>
      <c r="ES37" s="123">
        <f>1+((DX37-MIN(industry_experiences))*(4)/(MAX(industry_experiences) - MIN(industry_experiences)))</f>
        <v>1.285714286</v>
      </c>
      <c r="ET37" s="123">
        <f>1+((DY37-MIN(previous_startups))*(4)/(MAX(previous_startups) - MIN(previous_startups)))</f>
        <v>1.444444444</v>
      </c>
      <c r="EU37" s="123">
        <f>1+((DZ37-MIN(exits))*(4)/(MAX(exits) - MIN(exits)))</f>
        <v>1</v>
      </c>
      <c r="EV37" s="119">
        <f t="shared" si="26"/>
        <v>3.73015873</v>
      </c>
      <c r="EW37" s="124">
        <f>1+((EV37-MIN(team_ratings_sums))*(4)/(MAX(team_ratings_sums) - MIN(team_ratings_sums)))</f>
        <v>1.4</v>
      </c>
      <c r="EX37" s="116" t="str">
        <f t="shared" si="27"/>
        <v>20 - 34</v>
      </c>
      <c r="EY37" s="125">
        <f t="shared" si="28"/>
        <v>0.2054794521</v>
      </c>
      <c r="EZ37" s="116">
        <f t="shared" si="29"/>
        <v>2</v>
      </c>
      <c r="FA37" s="125">
        <f t="shared" si="30"/>
        <v>0.4520547945</v>
      </c>
      <c r="FB37" s="116">
        <f t="shared" si="31"/>
        <v>10</v>
      </c>
      <c r="FC37" s="125">
        <f t="shared" si="32"/>
        <v>0.02739726027</v>
      </c>
      <c r="FD37" s="116" t="str">
        <f t="shared" si="33"/>
        <v>Yes</v>
      </c>
      <c r="FE37" s="125">
        <f t="shared" si="34"/>
        <v>0.2465753425</v>
      </c>
      <c r="FF37" s="116" t="str">
        <f t="shared" ref="FF37:FH37" si="124">BJ37</f>
        <v>Yes</v>
      </c>
      <c r="FG37" s="116" t="str">
        <f t="shared" si="124"/>
        <v>Yes</v>
      </c>
      <c r="FH37" s="116" t="str">
        <f t="shared" si="124"/>
        <v>No</v>
      </c>
      <c r="FI37" s="112"/>
      <c r="FJ37" s="116" t="str">
        <f t="shared" si="36"/>
        <v>Transactional</v>
      </c>
      <c r="FK37" s="125">
        <f t="shared" si="37"/>
        <v>0.602739726</v>
      </c>
      <c r="FL37" s="116" t="str">
        <f t="shared" si="38"/>
        <v>B2B/B2C</v>
      </c>
      <c r="FM37" s="125">
        <f t="shared" si="39"/>
        <v>0.3287671233</v>
      </c>
      <c r="FN37" s="116" t="str">
        <f t="shared" si="40"/>
        <v>High</v>
      </c>
      <c r="FO37" s="125">
        <f t="shared" si="41"/>
        <v>0.5616438356</v>
      </c>
      <c r="FP37" s="116" t="str">
        <f t="shared" si="42"/>
        <v>Low</v>
      </c>
      <c r="FQ37" s="125">
        <f t="shared" si="43"/>
        <v>0.3561643836</v>
      </c>
      <c r="FR37" s="112"/>
      <c r="FS37" s="123">
        <f t="shared" si="44"/>
        <v>5</v>
      </c>
      <c r="FT37" s="123">
        <f t="shared" si="45"/>
        <v>1</v>
      </c>
      <c r="FU37" s="123">
        <f t="shared" si="46"/>
        <v>5</v>
      </c>
      <c r="FV37" s="123">
        <f t="shared" si="47"/>
        <v>2.8</v>
      </c>
      <c r="FW37" s="119">
        <f t="shared" si="48"/>
        <v>13.8</v>
      </c>
      <c r="FX37" s="115">
        <f>1+((FW37-MIN(performance_ratings_sums))*(4)/(MAX(performance_ratings_sums) - MIN(performance_ratings_sums)))</f>
        <v>3.654205607</v>
      </c>
      <c r="FY37" s="116" t="str">
        <f t="shared" si="49"/>
        <v>Pre-Profit</v>
      </c>
      <c r="FZ37" s="126">
        <f t="shared" si="50"/>
        <v>0.4931506849</v>
      </c>
      <c r="GA37" s="112"/>
      <c r="GB37" s="127">
        <f t="shared" si="51"/>
        <v>3</v>
      </c>
      <c r="GC37" s="116" t="str">
        <f t="shared" si="52"/>
        <v>No</v>
      </c>
      <c r="GD37" s="126">
        <f t="shared" si="53"/>
        <v>0.7671232877</v>
      </c>
      <c r="GE37" s="126" t="str">
        <f t="shared" si="54"/>
        <v>High</v>
      </c>
      <c r="GF37" s="126">
        <f t="shared" si="55"/>
        <v>0.4520547945</v>
      </c>
      <c r="GG37" s="126" t="str">
        <f t="shared" si="56"/>
        <v>High</v>
      </c>
      <c r="GH37" s="126">
        <f t="shared" si="57"/>
        <v>0.8082191781</v>
      </c>
      <c r="GI37" s="112"/>
      <c r="GJ37" s="116"/>
      <c r="GK37" s="119">
        <f t="shared" si="58"/>
        <v>12.19806526</v>
      </c>
      <c r="GL37" s="128">
        <f>1+((GK37-MIN(ratings_sums))*(4)/(MAX(ratings_sums) - MIN(ratings_sums)))</f>
        <v>2.535450147</v>
      </c>
    </row>
    <row r="38" ht="15.75" customHeight="1">
      <c r="A38" s="161" t="s">
        <v>702</v>
      </c>
      <c r="B38" s="15">
        <v>1725567.0</v>
      </c>
      <c r="C38" s="162" t="s">
        <v>708</v>
      </c>
      <c r="D38" s="163">
        <v>43696.40416666667</v>
      </c>
      <c r="E38" s="15" t="s">
        <v>350</v>
      </c>
      <c r="F38" s="164" t="s">
        <v>709</v>
      </c>
      <c r="G38" s="164" t="s">
        <v>710</v>
      </c>
      <c r="H38" s="165">
        <v>43682.0</v>
      </c>
      <c r="I38" s="162" t="s">
        <v>711</v>
      </c>
      <c r="J38" s="162" t="s">
        <v>711</v>
      </c>
      <c r="K38" s="15" t="s">
        <v>322</v>
      </c>
      <c r="L38" s="15" t="s">
        <v>99</v>
      </c>
      <c r="M38" s="15" t="s">
        <v>31</v>
      </c>
      <c r="N38" s="15" t="s">
        <v>101</v>
      </c>
      <c r="O38" s="15" t="s">
        <v>35</v>
      </c>
      <c r="Q38" s="15" t="s">
        <v>121</v>
      </c>
      <c r="R38" s="166"/>
      <c r="S38" s="120"/>
      <c r="T38" s="69">
        <v>2.1959058E7</v>
      </c>
      <c r="U38" s="69"/>
      <c r="V38" s="132"/>
      <c r="W38" s="96" t="str">
        <f t="shared" si="125"/>
        <v/>
      </c>
      <c r="X38" s="98">
        <f t="shared" si="126"/>
        <v>21959058</v>
      </c>
      <c r="Y38" s="99" t="str">
        <f t="shared" si="127"/>
        <v>$20M - $22M</v>
      </c>
      <c r="Z38" s="15" t="s">
        <v>36</v>
      </c>
      <c r="AA38" s="15" t="s">
        <v>87</v>
      </c>
      <c r="AB38" s="15" t="s">
        <v>88</v>
      </c>
      <c r="AC38" s="15" t="s">
        <v>469</v>
      </c>
      <c r="AD38" s="15" t="s">
        <v>39</v>
      </c>
      <c r="AE38" s="15" t="s">
        <v>39</v>
      </c>
      <c r="AF38" s="15" t="s">
        <v>469</v>
      </c>
      <c r="AG38" s="69">
        <v>4.16E9</v>
      </c>
      <c r="AH38" s="97" t="str">
        <f t="shared" si="128"/>
        <v>$1B-$5B</v>
      </c>
      <c r="AI38" s="69">
        <v>7.488E8</v>
      </c>
      <c r="AJ38" s="97" t="str">
        <f t="shared" si="129"/>
        <v>$500M-$1B</v>
      </c>
      <c r="AK38" s="167">
        <v>0.08</v>
      </c>
      <c r="AL38" s="88" t="str">
        <f t="shared" si="130"/>
        <v>0%-10%</v>
      </c>
      <c r="AM38" s="15">
        <v>10.0</v>
      </c>
      <c r="AN38" s="15" t="s">
        <v>39</v>
      </c>
      <c r="AO38" s="15" t="s">
        <v>89</v>
      </c>
      <c r="AP38" s="15" t="s">
        <v>40</v>
      </c>
      <c r="AQ38" s="168" t="s">
        <v>39</v>
      </c>
      <c r="AR38" s="168" t="s">
        <v>89</v>
      </c>
      <c r="AS38" s="15" t="s">
        <v>493</v>
      </c>
      <c r="AT38" s="15" t="s">
        <v>493</v>
      </c>
      <c r="AU38" s="15" t="s">
        <v>469</v>
      </c>
      <c r="AV38" s="15" t="s">
        <v>469</v>
      </c>
      <c r="AW38" s="69">
        <v>0.0</v>
      </c>
      <c r="AX38" s="96" t="str">
        <f t="shared" si="131"/>
        <v>&lt; $10K</v>
      </c>
      <c r="AY38" s="69">
        <v>26434.0</v>
      </c>
      <c r="AZ38" s="69">
        <v>4500000.0</v>
      </c>
      <c r="BA38" s="103" t="str">
        <f t="shared" si="132"/>
        <v>$4M - $5M</v>
      </c>
      <c r="BB38" s="103">
        <f t="shared" si="133"/>
        <v>0.005874222222</v>
      </c>
      <c r="BC38" s="103" t="str">
        <f t="shared" si="134"/>
        <v>&lt; 10%</v>
      </c>
      <c r="BD38" s="15" t="s">
        <v>41</v>
      </c>
      <c r="BE38" s="15" t="s">
        <v>108</v>
      </c>
      <c r="BF38" s="15" t="s">
        <v>469</v>
      </c>
      <c r="BG38" s="15">
        <v>0.0</v>
      </c>
      <c r="BH38" s="15">
        <v>1.0</v>
      </c>
      <c r="BI38" s="90" t="s">
        <v>469</v>
      </c>
      <c r="BJ38" s="15" t="s">
        <v>469</v>
      </c>
      <c r="BK38" s="15" t="s">
        <v>469</v>
      </c>
      <c r="BL38" s="15" t="s">
        <v>469</v>
      </c>
      <c r="BM38" s="15">
        <v>2.0</v>
      </c>
      <c r="BN38" s="15">
        <v>10.0</v>
      </c>
      <c r="BO38" s="15">
        <v>0.0</v>
      </c>
      <c r="BP38" s="15">
        <v>2.0</v>
      </c>
      <c r="BQ38" s="130"/>
      <c r="BR38" s="169">
        <v>26.0</v>
      </c>
      <c r="BS38" s="169">
        <v>0.0</v>
      </c>
      <c r="BT38" s="169">
        <v>0.0</v>
      </c>
      <c r="BU38" s="169">
        <v>58.0</v>
      </c>
      <c r="BV38" s="170" t="s">
        <v>469</v>
      </c>
      <c r="BW38" s="130"/>
      <c r="BX38" s="169"/>
      <c r="BY38" s="169"/>
      <c r="BZ38" s="169"/>
      <c r="CA38" s="169"/>
      <c r="CB38" s="170"/>
      <c r="CC38" s="130"/>
      <c r="CD38" s="171"/>
      <c r="CE38" s="171"/>
      <c r="CF38" s="171"/>
      <c r="CG38" s="171"/>
      <c r="CH38" s="171"/>
      <c r="CI38" s="130"/>
      <c r="CJ38" s="171"/>
      <c r="CK38" s="171"/>
      <c r="CL38" s="171"/>
      <c r="CM38" s="171"/>
      <c r="CN38" s="171"/>
      <c r="CO38" s="108"/>
      <c r="CP38" s="171"/>
      <c r="CQ38" s="171"/>
      <c r="CR38" s="171"/>
      <c r="CS38" s="171"/>
      <c r="CT38" s="171"/>
      <c r="CU38" s="130"/>
      <c r="CV38" s="171"/>
      <c r="CW38" s="171"/>
      <c r="CX38" s="171"/>
      <c r="CY38" s="171"/>
      <c r="CZ38" s="171"/>
      <c r="DA38" s="130"/>
      <c r="DB38" s="171"/>
      <c r="DC38" s="171"/>
      <c r="DD38" s="171"/>
      <c r="DE38" s="171"/>
      <c r="DF38" s="171"/>
      <c r="DG38" s="130"/>
      <c r="DH38" s="171"/>
      <c r="DI38" s="171"/>
      <c r="DJ38" s="171"/>
      <c r="DK38" s="171"/>
      <c r="DL38" s="171"/>
      <c r="DM38" s="130"/>
      <c r="DN38" s="171"/>
      <c r="DO38" s="171"/>
      <c r="DP38" s="171"/>
      <c r="DQ38" s="171"/>
      <c r="DR38" s="171"/>
      <c r="DS38" s="130"/>
      <c r="DT38" s="108"/>
      <c r="DU38" s="108"/>
      <c r="DW38" s="109"/>
      <c r="DX38" s="110">
        <f t="shared" si="13"/>
        <v>26</v>
      </c>
      <c r="DY38" s="111">
        <f t="shared" ref="DY38:DZ38" si="135">sum(BS38,BY38,CE38,CK38,CQ38,CW38,DC38,DI38,DO38)</f>
        <v>0</v>
      </c>
      <c r="DZ38" s="111">
        <f t="shared" si="135"/>
        <v>0</v>
      </c>
      <c r="EA38" s="110">
        <f t="shared" si="15"/>
        <v>58</v>
      </c>
      <c r="EB38" s="99" t="str">
        <f t="shared" si="16"/>
        <v>55+</v>
      </c>
      <c r="EC38" s="112"/>
      <c r="ED38" s="113">
        <f t="shared" si="17"/>
        <v>2.9</v>
      </c>
      <c r="EE38" s="114" t="str">
        <f>IF(V38 &lt;&gt; "", 1+((V38-MIN(discount_rates))*(4)/(MAX(discount_rates) - MIN(discount_rates))), "")</f>
        <v/>
      </c>
      <c r="EF38" s="114" t="str">
        <f>IF(Q38="Debt", (1+((S38-MIN(interest_rates))*(4)/(MAX(interest_rates) - MIN(interest_rates)))), "")</f>
        <v/>
      </c>
      <c r="EG38" s="114" t="str">
        <f>IF(OR(Q38="Revenue Share", Q38="Profit Share"), (1+((R38-MIN(return_mutiples))*(4)/(MAX(return_mutiples) - MIN(return_mutiples)))), "")</f>
        <v/>
      </c>
      <c r="EH38" s="115">
        <f t="shared" si="18"/>
        <v>2.9</v>
      </c>
      <c r="EI38" s="116" t="str">
        <f t="shared" si="19"/>
        <v>Equity - Common</v>
      </c>
      <c r="EJ38" s="117">
        <f t="shared" si="20"/>
        <v>0.3287671233</v>
      </c>
      <c r="EK38" s="116" t="str">
        <f t="shared" si="21"/>
        <v>Early</v>
      </c>
      <c r="EL38" s="112"/>
      <c r="EM38" s="118">
        <f t="shared" si="22"/>
        <v>2.4</v>
      </c>
      <c r="EN38" s="118">
        <f t="shared" si="23"/>
        <v>1.7</v>
      </c>
      <c r="EO38" s="119">
        <f t="shared" si="24"/>
        <v>4.1</v>
      </c>
      <c r="EP38" s="115">
        <f>1+((EO38-MIN(market_ratings_sums))*(4)/(MAX(market_ratings_sums) - MIN(market_ratings_sums)))</f>
        <v>1.98245614</v>
      </c>
      <c r="EQ38" s="116" t="str">
        <f t="shared" si="25"/>
        <v>Yes</v>
      </c>
      <c r="ER38" s="112"/>
      <c r="ES38" s="123">
        <f>1+((DX38-MIN(industry_experiences))*(4)/(MAX(industry_experiences) - MIN(industry_experiences)))</f>
        <v>3.476190476</v>
      </c>
      <c r="ET38" s="123">
        <f>1+((DY38-MIN(previous_startups))*(4)/(MAX(previous_startups) - MIN(previous_startups)))</f>
        <v>1</v>
      </c>
      <c r="EU38" s="123">
        <f>1+((DZ38-MIN(exits))*(4)/(MAX(exits) - MIN(exits)))</f>
        <v>1</v>
      </c>
      <c r="EV38" s="119">
        <f t="shared" si="26"/>
        <v>5.476190476</v>
      </c>
      <c r="EW38" s="124">
        <f>1+((EV38-MIN(team_ratings_sums))*(4)/(MAX(team_ratings_sums) - MIN(team_ratings_sums)))</f>
        <v>2.356521739</v>
      </c>
      <c r="EX38" s="116" t="str">
        <f t="shared" si="27"/>
        <v>55+</v>
      </c>
      <c r="EY38" s="125">
        <f t="shared" si="28"/>
        <v>0.1095890411</v>
      </c>
      <c r="EZ38" s="116">
        <f t="shared" si="29"/>
        <v>1</v>
      </c>
      <c r="FA38" s="125">
        <f t="shared" si="30"/>
        <v>0.4383561644</v>
      </c>
      <c r="FB38" s="116">
        <f t="shared" si="31"/>
        <v>10</v>
      </c>
      <c r="FC38" s="125">
        <f t="shared" si="32"/>
        <v>0.02739726027</v>
      </c>
      <c r="FD38" s="116" t="str">
        <f t="shared" si="33"/>
        <v>No</v>
      </c>
      <c r="FE38" s="125">
        <f t="shared" si="34"/>
        <v>0.7534246575</v>
      </c>
      <c r="FF38" s="116" t="str">
        <f t="shared" ref="FF38:FH38" si="136">BJ38</f>
        <v>No</v>
      </c>
      <c r="FG38" s="116" t="str">
        <f t="shared" si="136"/>
        <v>No</v>
      </c>
      <c r="FH38" s="116" t="str">
        <f t="shared" si="136"/>
        <v>No</v>
      </c>
      <c r="FI38" s="112"/>
      <c r="FJ38" s="116" t="str">
        <f t="shared" si="36"/>
        <v>Transactional</v>
      </c>
      <c r="FK38" s="125">
        <f t="shared" si="37"/>
        <v>0.602739726</v>
      </c>
      <c r="FL38" s="116" t="str">
        <f t="shared" si="38"/>
        <v>B2C</v>
      </c>
      <c r="FM38" s="125">
        <f t="shared" si="39"/>
        <v>0.397260274</v>
      </c>
      <c r="FN38" s="116" t="str">
        <f t="shared" si="40"/>
        <v>High</v>
      </c>
      <c r="FO38" s="125">
        <f t="shared" si="41"/>
        <v>0.5616438356</v>
      </c>
      <c r="FP38" s="116" t="str">
        <f t="shared" si="42"/>
        <v>High</v>
      </c>
      <c r="FQ38" s="125">
        <f t="shared" si="43"/>
        <v>0.6438356164</v>
      </c>
      <c r="FR38" s="112"/>
      <c r="FS38" s="123">
        <f t="shared" si="44"/>
        <v>1</v>
      </c>
      <c r="FT38" s="123">
        <f t="shared" si="45"/>
        <v>1</v>
      </c>
      <c r="FU38" s="123">
        <f t="shared" si="46"/>
        <v>5</v>
      </c>
      <c r="FV38" s="123">
        <f t="shared" si="47"/>
        <v>1.4</v>
      </c>
      <c r="FW38" s="119">
        <f t="shared" si="48"/>
        <v>8.4</v>
      </c>
      <c r="FX38" s="115">
        <f>1+((FW38-MIN(performance_ratings_sums))*(4)/(MAX(performance_ratings_sums) - MIN(performance_ratings_sums)))</f>
        <v>1.635514019</v>
      </c>
      <c r="FY38" s="116" t="str">
        <f t="shared" si="49"/>
        <v>Pre-Product</v>
      </c>
      <c r="FZ38" s="126">
        <f t="shared" si="50"/>
        <v>0.2328767123</v>
      </c>
      <c r="GA38" s="112"/>
      <c r="GB38" s="127">
        <f t="shared" si="51"/>
        <v>3</v>
      </c>
      <c r="GC38" s="116" t="str">
        <f t="shared" si="52"/>
        <v>Yes</v>
      </c>
      <c r="GD38" s="126">
        <f t="shared" si="53"/>
        <v>0.2328767123</v>
      </c>
      <c r="GE38" s="126" t="str">
        <f t="shared" si="54"/>
        <v>High</v>
      </c>
      <c r="GF38" s="126">
        <f t="shared" si="55"/>
        <v>0.4520547945</v>
      </c>
      <c r="GG38" s="126" t="str">
        <f t="shared" si="56"/>
        <v>Low</v>
      </c>
      <c r="GH38" s="126">
        <f t="shared" si="57"/>
        <v>0.1917808219</v>
      </c>
      <c r="GI38" s="112"/>
      <c r="GJ38" s="116"/>
      <c r="GK38" s="119">
        <f t="shared" si="58"/>
        <v>11.8744919</v>
      </c>
      <c r="GL38" s="128">
        <f>1+((GK38-MIN(ratings_sums))*(4)/(MAX(ratings_sums) - MIN(ratings_sums)))</f>
        <v>2.436164908</v>
      </c>
    </row>
    <row r="39" ht="15.75" customHeight="1">
      <c r="A39" s="161" t="s">
        <v>702</v>
      </c>
      <c r="B39" s="15">
        <v>1785391.0</v>
      </c>
      <c r="C39" s="162" t="s">
        <v>712</v>
      </c>
      <c r="D39" s="163">
        <v>43698.48611111111</v>
      </c>
      <c r="E39" s="15" t="s">
        <v>343</v>
      </c>
      <c r="F39" s="164" t="s">
        <v>713</v>
      </c>
      <c r="G39" s="164" t="s">
        <v>714</v>
      </c>
      <c r="H39" s="165">
        <v>43698.0</v>
      </c>
      <c r="I39" s="162" t="s">
        <v>715</v>
      </c>
      <c r="J39" s="162" t="s">
        <v>716</v>
      </c>
      <c r="K39" s="15" t="s">
        <v>524</v>
      </c>
      <c r="L39" s="15" t="s">
        <v>368</v>
      </c>
      <c r="M39" s="15" t="s">
        <v>31</v>
      </c>
      <c r="N39" s="15" t="s">
        <v>32</v>
      </c>
      <c r="O39" s="15" t="s">
        <v>35</v>
      </c>
      <c r="Q39" s="15" t="s">
        <v>135</v>
      </c>
      <c r="R39" s="166"/>
      <c r="S39" s="120"/>
      <c r="T39" s="69">
        <v>2.0E7</v>
      </c>
      <c r="U39" s="69"/>
      <c r="V39" s="132"/>
      <c r="W39" s="96" t="str">
        <f t="shared" si="125"/>
        <v/>
      </c>
      <c r="X39" s="98">
        <f t="shared" si="126"/>
        <v>20000000</v>
      </c>
      <c r="Y39" s="99" t="str">
        <f t="shared" si="127"/>
        <v>$18M - $20M</v>
      </c>
      <c r="Z39" s="15" t="s">
        <v>36</v>
      </c>
      <c r="AA39" s="15" t="s">
        <v>87</v>
      </c>
      <c r="AB39" s="15" t="s">
        <v>88</v>
      </c>
      <c r="AC39" s="15" t="s">
        <v>469</v>
      </c>
      <c r="AD39" s="15" t="s">
        <v>39</v>
      </c>
      <c r="AE39" s="15" t="s">
        <v>39</v>
      </c>
      <c r="AF39" s="15" t="s">
        <v>469</v>
      </c>
      <c r="AG39" s="69">
        <v>2.0E7</v>
      </c>
      <c r="AH39" s="97" t="str">
        <f t="shared" si="128"/>
        <v>&lt; $25M</v>
      </c>
      <c r="AI39" s="69">
        <v>2.0E7</v>
      </c>
      <c r="AJ39" s="97" t="str">
        <f t="shared" si="129"/>
        <v>&lt; $25M</v>
      </c>
      <c r="AK39" s="167">
        <v>0.0</v>
      </c>
      <c r="AL39" s="88" t="str">
        <f t="shared" si="130"/>
        <v>0%-10%</v>
      </c>
      <c r="AN39" s="15" t="s">
        <v>89</v>
      </c>
      <c r="AO39" s="15" t="s">
        <v>89</v>
      </c>
      <c r="AP39" s="15" t="s">
        <v>40</v>
      </c>
      <c r="AQ39" s="168" t="s">
        <v>39</v>
      </c>
      <c r="AR39" s="168" t="s">
        <v>39</v>
      </c>
      <c r="AS39" s="15" t="s">
        <v>469</v>
      </c>
      <c r="AT39" s="15" t="s">
        <v>469</v>
      </c>
      <c r="AU39" s="15" t="s">
        <v>469</v>
      </c>
      <c r="AV39" s="15" t="s">
        <v>469</v>
      </c>
      <c r="AW39" s="69">
        <v>0.0</v>
      </c>
      <c r="AX39" s="96" t="str">
        <f t="shared" si="131"/>
        <v>&lt; $10K</v>
      </c>
      <c r="AY39" s="69">
        <v>5333.0</v>
      </c>
      <c r="AZ39" s="69">
        <v>0.0</v>
      </c>
      <c r="BA39" s="103" t="str">
        <f t="shared" si="132"/>
        <v>&lt; $10K</v>
      </c>
      <c r="BB39" s="103">
        <f t="shared" si="133"/>
        <v>1</v>
      </c>
      <c r="BC39" s="103" t="str">
        <f t="shared" si="134"/>
        <v>90% - 100%</v>
      </c>
      <c r="BD39" s="15" t="s">
        <v>41</v>
      </c>
      <c r="BF39" s="15" t="s">
        <v>469</v>
      </c>
      <c r="BG39" s="15">
        <v>0.0</v>
      </c>
      <c r="BH39" s="15">
        <v>1.0</v>
      </c>
      <c r="BI39" s="90" t="s">
        <v>469</v>
      </c>
      <c r="BJ39" s="15" t="s">
        <v>469</v>
      </c>
      <c r="BK39" s="15" t="s">
        <v>493</v>
      </c>
      <c r="BL39" s="15" t="s">
        <v>469</v>
      </c>
      <c r="BM39" s="15">
        <v>1.0</v>
      </c>
      <c r="BN39" s="15">
        <v>1.0</v>
      </c>
      <c r="BO39" s="15">
        <v>0.0</v>
      </c>
      <c r="BP39" s="15">
        <v>0.0</v>
      </c>
      <c r="BQ39" s="130"/>
      <c r="BR39" s="169">
        <v>0.0</v>
      </c>
      <c r="BS39" s="169">
        <v>0.0</v>
      </c>
      <c r="BT39" s="169">
        <v>0.0</v>
      </c>
      <c r="BU39" s="169">
        <v>48.0</v>
      </c>
      <c r="BV39" s="170" t="s">
        <v>469</v>
      </c>
      <c r="BW39" s="130"/>
      <c r="BX39" s="169"/>
      <c r="BY39" s="169"/>
      <c r="BZ39" s="169"/>
      <c r="CA39" s="169"/>
      <c r="CB39" s="170"/>
      <c r="CC39" s="130"/>
      <c r="CD39" s="171"/>
      <c r="CE39" s="171"/>
      <c r="CF39" s="171"/>
      <c r="CG39" s="171"/>
      <c r="CH39" s="171"/>
      <c r="CI39" s="130"/>
      <c r="CJ39" s="171"/>
      <c r="CK39" s="171"/>
      <c r="CL39" s="171"/>
      <c r="CM39" s="171"/>
      <c r="CN39" s="171"/>
      <c r="CO39" s="108"/>
      <c r="CP39" s="172"/>
      <c r="CQ39" s="172"/>
      <c r="CR39" s="172"/>
      <c r="CS39" s="172"/>
      <c r="CT39" s="171"/>
      <c r="CU39" s="130"/>
      <c r="CV39" s="172"/>
      <c r="CW39" s="172"/>
      <c r="CX39" s="172"/>
      <c r="CY39" s="172"/>
      <c r="CZ39" s="171"/>
      <c r="DA39" s="130"/>
      <c r="DB39" s="172"/>
      <c r="DC39" s="172"/>
      <c r="DD39" s="172"/>
      <c r="DE39" s="172"/>
      <c r="DF39" s="171"/>
      <c r="DG39" s="130"/>
      <c r="DH39" s="172"/>
      <c r="DI39" s="172"/>
      <c r="DJ39" s="172"/>
      <c r="DK39" s="172"/>
      <c r="DL39" s="171"/>
      <c r="DM39" s="130"/>
      <c r="DN39" s="172"/>
      <c r="DO39" s="172"/>
      <c r="DP39" s="172"/>
      <c r="DQ39" s="172"/>
      <c r="DR39" s="171"/>
      <c r="DS39" s="130"/>
      <c r="DT39" s="108"/>
      <c r="DU39" s="108"/>
      <c r="DW39" s="109"/>
      <c r="DX39" s="110">
        <f t="shared" si="13"/>
        <v>0</v>
      </c>
      <c r="DY39" s="111">
        <f t="shared" ref="DY39:DZ39" si="137">sum(BS39,BY39,CE39,CK39,CQ39,CW39,DC39,DI39,DO39)</f>
        <v>0</v>
      </c>
      <c r="DZ39" s="111">
        <f t="shared" si="137"/>
        <v>0</v>
      </c>
      <c r="EA39" s="110">
        <f t="shared" si="15"/>
        <v>48</v>
      </c>
      <c r="EB39" s="99" t="str">
        <f t="shared" si="16"/>
        <v>35 - 54</v>
      </c>
      <c r="EC39" s="112"/>
      <c r="ED39" s="113">
        <f t="shared" si="17"/>
        <v>3.1</v>
      </c>
      <c r="EE39" s="114" t="str">
        <f>IF(V39 &lt;&gt; "", 1+((V39-MIN(discount_rates))*(4)/(MAX(discount_rates) - MIN(discount_rates))), "")</f>
        <v/>
      </c>
      <c r="EF39" s="114" t="str">
        <f>IF(Q39="Debt", (1+((S39-MIN(interest_rates))*(4)/(MAX(interest_rates) - MIN(interest_rates)))), "")</f>
        <v/>
      </c>
      <c r="EG39" s="114" t="str">
        <f>IF(OR(Q39="Revenue Share", Q39="Profit Share"), (1+((R39-MIN(return_mutiples))*(4)/(MAX(return_mutiples) - MIN(return_mutiples)))), "")</f>
        <v/>
      </c>
      <c r="EH39" s="115">
        <f t="shared" si="18"/>
        <v>3.1</v>
      </c>
      <c r="EI39" s="116" t="str">
        <f t="shared" si="19"/>
        <v>Equity - Preferred</v>
      </c>
      <c r="EJ39" s="117">
        <f t="shared" si="20"/>
        <v>0.06849315068</v>
      </c>
      <c r="EK39" s="116" t="str">
        <f t="shared" si="21"/>
        <v>Early</v>
      </c>
      <c r="EL39" s="112"/>
      <c r="EM39" s="118">
        <f t="shared" si="22"/>
        <v>1</v>
      </c>
      <c r="EN39" s="118">
        <f t="shared" si="23"/>
        <v>1.7</v>
      </c>
      <c r="EO39" s="119">
        <f t="shared" si="24"/>
        <v>2.7</v>
      </c>
      <c r="EP39" s="115">
        <f>1+((EO39-MIN(market_ratings_sums))*(4)/(MAX(market_ratings_sums) - MIN(market_ratings_sums)))</f>
        <v>1</v>
      </c>
      <c r="EQ39" s="116" t="str">
        <f t="shared" si="25"/>
        <v>No</v>
      </c>
      <c r="ER39" s="112"/>
      <c r="ES39" s="123">
        <f>1+((DX39-MIN(industry_experiences))*(4)/(MAX(industry_experiences) - MIN(industry_experiences)))</f>
        <v>1</v>
      </c>
      <c r="ET39" s="123">
        <f>1+((DY39-MIN(previous_startups))*(4)/(MAX(previous_startups) - MIN(previous_startups)))</f>
        <v>1</v>
      </c>
      <c r="EU39" s="123">
        <f>1+((DZ39-MIN(exits))*(4)/(MAX(exits) - MIN(exits)))</f>
        <v>1</v>
      </c>
      <c r="EV39" s="119">
        <f t="shared" si="26"/>
        <v>3</v>
      </c>
      <c r="EW39" s="124">
        <f>1+((EV39-MIN(team_ratings_sums))*(4)/(MAX(team_ratings_sums) - MIN(team_ratings_sums)))</f>
        <v>1</v>
      </c>
      <c r="EX39" s="116" t="str">
        <f t="shared" si="27"/>
        <v>35 - 54</v>
      </c>
      <c r="EY39" s="125">
        <f t="shared" si="28"/>
        <v>0.6849315068</v>
      </c>
      <c r="EZ39" s="116">
        <f t="shared" si="29"/>
        <v>1</v>
      </c>
      <c r="FA39" s="125">
        <f t="shared" si="30"/>
        <v>0.4383561644</v>
      </c>
      <c r="FB39" s="116">
        <f t="shared" si="31"/>
        <v>1</v>
      </c>
      <c r="FC39" s="125">
        <f t="shared" si="32"/>
        <v>0.08219178082</v>
      </c>
      <c r="FD39" s="116" t="str">
        <f t="shared" si="33"/>
        <v>No</v>
      </c>
      <c r="FE39" s="125">
        <f t="shared" si="34"/>
        <v>0.7534246575</v>
      </c>
      <c r="FF39" s="116" t="str">
        <f t="shared" ref="FF39:FH39" si="138">BJ39</f>
        <v>No</v>
      </c>
      <c r="FG39" s="116" t="str">
        <f t="shared" si="138"/>
        <v>Yes</v>
      </c>
      <c r="FH39" s="116" t="str">
        <f t="shared" si="138"/>
        <v>No</v>
      </c>
      <c r="FI39" s="112"/>
      <c r="FJ39" s="116" t="str">
        <f t="shared" si="36"/>
        <v>Transactional</v>
      </c>
      <c r="FK39" s="125">
        <f t="shared" si="37"/>
        <v>0.602739726</v>
      </c>
      <c r="FL39" s="116" t="str">
        <f t="shared" si="38"/>
        <v>B2C</v>
      </c>
      <c r="FM39" s="125">
        <f t="shared" si="39"/>
        <v>0.397260274</v>
      </c>
      <c r="FN39" s="116" t="str">
        <f t="shared" si="40"/>
        <v>High</v>
      </c>
      <c r="FO39" s="125">
        <f t="shared" si="41"/>
        <v>0.5616438356</v>
      </c>
      <c r="FP39" s="116" t="str">
        <f t="shared" si="42"/>
        <v>High</v>
      </c>
      <c r="FQ39" s="125">
        <f t="shared" si="43"/>
        <v>0.6438356164</v>
      </c>
      <c r="FR39" s="112"/>
      <c r="FS39" s="123">
        <f t="shared" si="44"/>
        <v>1</v>
      </c>
      <c r="FT39" s="123">
        <f t="shared" si="45"/>
        <v>1</v>
      </c>
      <c r="FU39" s="123">
        <f t="shared" si="46"/>
        <v>1</v>
      </c>
      <c r="FV39" s="123">
        <f t="shared" si="47"/>
        <v>5</v>
      </c>
      <c r="FW39" s="119">
        <f t="shared" si="48"/>
        <v>8</v>
      </c>
      <c r="FX39" s="115">
        <f>1+((FW39-MIN(performance_ratings_sums))*(4)/(MAX(performance_ratings_sums) - MIN(performance_ratings_sums)))</f>
        <v>1.485981308</v>
      </c>
      <c r="FY39" s="116" t="str">
        <f t="shared" si="49"/>
        <v>Pre-Product</v>
      </c>
      <c r="FZ39" s="126">
        <f t="shared" si="50"/>
        <v>0.2328767123</v>
      </c>
      <c r="GA39" s="112"/>
      <c r="GB39" s="127">
        <f t="shared" si="51"/>
        <v>1</v>
      </c>
      <c r="GC39" s="116" t="str">
        <f t="shared" si="52"/>
        <v>No</v>
      </c>
      <c r="GD39" s="126">
        <f t="shared" si="53"/>
        <v>0.7671232877</v>
      </c>
      <c r="GE39" s="126" t="str">
        <f t="shared" si="54"/>
        <v>High</v>
      </c>
      <c r="GF39" s="126">
        <f t="shared" si="55"/>
        <v>0.4520547945</v>
      </c>
      <c r="GG39" s="126" t="str">
        <f t="shared" si="56"/>
        <v>High</v>
      </c>
      <c r="GH39" s="126">
        <f t="shared" si="57"/>
        <v>0.8082191781</v>
      </c>
      <c r="GI39" s="112"/>
      <c r="GJ39" s="116"/>
      <c r="GK39" s="119">
        <f t="shared" si="58"/>
        <v>7.585981308</v>
      </c>
      <c r="GL39" s="128">
        <f>1+((GK39-MIN(ratings_sums))*(4)/(MAX(ratings_sums) - MIN(ratings_sums)))</f>
        <v>1.120278459</v>
      </c>
    </row>
    <row r="40" ht="15.75" customHeight="1">
      <c r="A40" s="161" t="s">
        <v>702</v>
      </c>
      <c r="B40" s="15">
        <v>1786471.0</v>
      </c>
      <c r="C40" s="162" t="s">
        <v>717</v>
      </c>
      <c r="D40" s="163">
        <v>43706.375</v>
      </c>
      <c r="E40" s="15" t="s">
        <v>392</v>
      </c>
      <c r="F40" s="164" t="s">
        <v>718</v>
      </c>
      <c r="G40" s="164" t="s">
        <v>719</v>
      </c>
      <c r="H40" s="165">
        <v>43699.0</v>
      </c>
      <c r="I40" s="162" t="s">
        <v>720</v>
      </c>
      <c r="J40" s="162" t="s">
        <v>721</v>
      </c>
      <c r="K40" s="15" t="s">
        <v>220</v>
      </c>
      <c r="L40" s="15" t="s">
        <v>117</v>
      </c>
      <c r="M40" s="15" t="s">
        <v>31</v>
      </c>
      <c r="N40" s="15" t="s">
        <v>82</v>
      </c>
      <c r="O40" s="15" t="s">
        <v>35</v>
      </c>
      <c r="Q40" s="15" t="s">
        <v>195</v>
      </c>
      <c r="R40" s="166"/>
      <c r="S40" s="120"/>
      <c r="T40" s="69"/>
      <c r="U40" s="69">
        <v>2.0E7</v>
      </c>
      <c r="V40" s="132">
        <v>0.0</v>
      </c>
      <c r="W40" s="96">
        <f t="shared" si="125"/>
        <v>20000000</v>
      </c>
      <c r="X40" s="98">
        <f t="shared" si="126"/>
        <v>20000000</v>
      </c>
      <c r="Y40" s="99" t="str">
        <f t="shared" si="127"/>
        <v>$18M - $20M</v>
      </c>
      <c r="Z40" s="15" t="s">
        <v>36</v>
      </c>
      <c r="AA40" s="15" t="s">
        <v>87</v>
      </c>
      <c r="AB40" s="15" t="s">
        <v>88</v>
      </c>
      <c r="AC40" s="15" t="s">
        <v>469</v>
      </c>
      <c r="AD40" s="15" t="s">
        <v>89</v>
      </c>
      <c r="AE40" s="15" t="s">
        <v>39</v>
      </c>
      <c r="AF40" s="15" t="s">
        <v>469</v>
      </c>
      <c r="AG40" s="69">
        <v>4.0E12</v>
      </c>
      <c r="AH40" s="97" t="str">
        <f t="shared" si="128"/>
        <v>&gt; $1T</v>
      </c>
      <c r="AI40" s="69">
        <v>1.85E11</v>
      </c>
      <c r="AJ40" s="97" t="str">
        <f t="shared" si="129"/>
        <v>$100B-$250B</v>
      </c>
      <c r="AK40" s="167">
        <v>0.256</v>
      </c>
      <c r="AL40" s="88" t="str">
        <f t="shared" si="130"/>
        <v>20%-30%</v>
      </c>
      <c r="AM40" s="15">
        <v>30.0</v>
      </c>
      <c r="AN40" s="15" t="s">
        <v>89</v>
      </c>
      <c r="AO40" s="15" t="s">
        <v>89</v>
      </c>
      <c r="AP40" s="15" t="s">
        <v>40</v>
      </c>
      <c r="AQ40" s="168" t="s">
        <v>39</v>
      </c>
      <c r="AR40" s="168" t="s">
        <v>39</v>
      </c>
      <c r="AS40" s="15" t="s">
        <v>493</v>
      </c>
      <c r="AT40" s="15" t="s">
        <v>493</v>
      </c>
      <c r="AU40" s="15" t="s">
        <v>469</v>
      </c>
      <c r="AV40" s="15" t="s">
        <v>469</v>
      </c>
      <c r="AW40" s="69">
        <v>0.0</v>
      </c>
      <c r="AX40" s="96" t="str">
        <f t="shared" si="131"/>
        <v>&lt; $10K</v>
      </c>
      <c r="AY40" s="69">
        <v>3158.0</v>
      </c>
      <c r="AZ40" s="69">
        <v>200000.0</v>
      </c>
      <c r="BA40" s="103" t="str">
        <f t="shared" si="132"/>
        <v>$100K - $500K</v>
      </c>
      <c r="BB40" s="103">
        <f t="shared" si="133"/>
        <v>0.01579</v>
      </c>
      <c r="BC40" s="103" t="str">
        <f t="shared" si="134"/>
        <v>&lt; 10%</v>
      </c>
      <c r="BD40" s="15" t="s">
        <v>41</v>
      </c>
      <c r="BF40" s="15" t="s">
        <v>469</v>
      </c>
      <c r="BG40" s="15">
        <v>0.0</v>
      </c>
      <c r="BH40" s="15">
        <v>2.0</v>
      </c>
      <c r="BI40" s="15" t="s">
        <v>493</v>
      </c>
      <c r="BJ40" s="15" t="s">
        <v>469</v>
      </c>
      <c r="BK40" s="15" t="s">
        <v>469</v>
      </c>
      <c r="BL40" s="15" t="s">
        <v>469</v>
      </c>
      <c r="BM40" s="15">
        <v>3.0</v>
      </c>
      <c r="BN40" s="15">
        <v>6.0</v>
      </c>
      <c r="BO40" s="15">
        <v>0.0</v>
      </c>
      <c r="BP40" s="15">
        <v>0.0</v>
      </c>
      <c r="BQ40" s="130"/>
      <c r="BR40" s="169">
        <v>16.0</v>
      </c>
      <c r="BS40" s="169">
        <v>2.0</v>
      </c>
      <c r="BT40" s="169">
        <v>0.0</v>
      </c>
      <c r="BU40" s="169">
        <v>46.0</v>
      </c>
      <c r="BV40" s="170" t="s">
        <v>469</v>
      </c>
      <c r="BW40" s="130"/>
      <c r="BX40" s="169">
        <v>3.0</v>
      </c>
      <c r="BY40" s="169">
        <v>1.0</v>
      </c>
      <c r="BZ40" s="169">
        <v>0.0</v>
      </c>
      <c r="CA40" s="169">
        <v>54.0</v>
      </c>
      <c r="CB40" s="170" t="s">
        <v>469</v>
      </c>
      <c r="CC40" s="130"/>
      <c r="CD40" s="171"/>
      <c r="CE40" s="171"/>
      <c r="CF40" s="171"/>
      <c r="CG40" s="171"/>
      <c r="CH40" s="171"/>
      <c r="CI40" s="130"/>
      <c r="CJ40" s="171"/>
      <c r="CK40" s="171"/>
      <c r="CL40" s="171"/>
      <c r="CM40" s="171"/>
      <c r="CN40" s="171"/>
      <c r="CO40" s="108"/>
      <c r="CP40" s="172"/>
      <c r="CQ40" s="172"/>
      <c r="CR40" s="172"/>
      <c r="CS40" s="172"/>
      <c r="CT40" s="171"/>
      <c r="CU40" s="130"/>
      <c r="CV40" s="172"/>
      <c r="CW40" s="172"/>
      <c r="CX40" s="172"/>
      <c r="CY40" s="172"/>
      <c r="CZ40" s="171"/>
      <c r="DA40" s="130"/>
      <c r="DB40" s="172"/>
      <c r="DC40" s="172"/>
      <c r="DD40" s="172"/>
      <c r="DE40" s="172"/>
      <c r="DF40" s="171"/>
      <c r="DG40" s="130"/>
      <c r="DH40" s="172"/>
      <c r="DI40" s="172"/>
      <c r="DJ40" s="172"/>
      <c r="DK40" s="172"/>
      <c r="DL40" s="171"/>
      <c r="DM40" s="130"/>
      <c r="DN40" s="172"/>
      <c r="DO40" s="172"/>
      <c r="DP40" s="172"/>
      <c r="DQ40" s="172"/>
      <c r="DR40" s="171"/>
      <c r="DS40" s="130"/>
      <c r="DT40" s="108"/>
      <c r="DU40" s="108"/>
      <c r="DW40" s="109"/>
      <c r="DX40" s="110">
        <f t="shared" si="13"/>
        <v>9.5</v>
      </c>
      <c r="DY40" s="111">
        <f t="shared" ref="DY40:DZ40" si="139">sum(BS40,BY40,CE40,CK40,CQ40,CW40,DC40,DI40,DO40)</f>
        <v>3</v>
      </c>
      <c r="DZ40" s="111">
        <f t="shared" si="139"/>
        <v>0</v>
      </c>
      <c r="EA40" s="110">
        <f t="shared" si="15"/>
        <v>50</v>
      </c>
      <c r="EB40" s="99" t="str">
        <f t="shared" si="16"/>
        <v>35 - 54</v>
      </c>
      <c r="EC40" s="112"/>
      <c r="ED40" s="113">
        <f t="shared" si="17"/>
        <v>3.1</v>
      </c>
      <c r="EE40" s="114">
        <f>IF(V40 &lt;&gt; "", 1+((V40-MIN(discount_rates))*(4)/(MAX(discount_rates) - MIN(discount_rates))), "")</f>
        <v>1</v>
      </c>
      <c r="EF40" s="114" t="str">
        <f>IF(Q40="Debt", (1+((S40-MIN(interest_rates))*(4)/(MAX(interest_rates) - MIN(interest_rates)))), "")</f>
        <v/>
      </c>
      <c r="EG40" s="114" t="str">
        <f>IF(OR(Q40="Revenue Share", Q40="Profit Share"), (1+((R40-MIN(return_mutiples))*(4)/(MAX(return_mutiples) - MIN(return_mutiples)))), "")</f>
        <v/>
      </c>
      <c r="EH40" s="115">
        <f t="shared" si="18"/>
        <v>3.1</v>
      </c>
      <c r="EI40" s="116" t="str">
        <f t="shared" si="19"/>
        <v>SAFE</v>
      </c>
      <c r="EJ40" s="117">
        <f t="shared" si="20"/>
        <v>0.3561643836</v>
      </c>
      <c r="EK40" s="116" t="str">
        <f t="shared" si="21"/>
        <v>Early</v>
      </c>
      <c r="EL40" s="112"/>
      <c r="EM40" s="118">
        <f t="shared" si="22"/>
        <v>4.1</v>
      </c>
      <c r="EN40" s="118">
        <f t="shared" si="23"/>
        <v>3</v>
      </c>
      <c r="EO40" s="119">
        <f t="shared" si="24"/>
        <v>7.1</v>
      </c>
      <c r="EP40" s="115">
        <f>1+((EO40-MIN(market_ratings_sums))*(4)/(MAX(market_ratings_sums) - MIN(market_ratings_sums)))</f>
        <v>4.087719298</v>
      </c>
      <c r="EQ40" s="116" t="str">
        <f t="shared" si="25"/>
        <v>Yes</v>
      </c>
      <c r="ER40" s="112"/>
      <c r="ES40" s="123">
        <f>1+((DX40-MIN(industry_experiences))*(4)/(MAX(industry_experiences) - MIN(industry_experiences)))</f>
        <v>1.904761905</v>
      </c>
      <c r="ET40" s="123">
        <f>1+((DY40-MIN(previous_startups))*(4)/(MAX(previous_startups) - MIN(previous_startups)))</f>
        <v>2.333333333</v>
      </c>
      <c r="EU40" s="123">
        <f>1+((DZ40-MIN(exits))*(4)/(MAX(exits) - MIN(exits)))</f>
        <v>1</v>
      </c>
      <c r="EV40" s="119">
        <f t="shared" si="26"/>
        <v>5.238095238</v>
      </c>
      <c r="EW40" s="124">
        <f>1+((EV40-MIN(team_ratings_sums))*(4)/(MAX(team_ratings_sums) - MIN(team_ratings_sums)))</f>
        <v>2.226086957</v>
      </c>
      <c r="EX40" s="116" t="str">
        <f t="shared" si="27"/>
        <v>35 - 54</v>
      </c>
      <c r="EY40" s="125">
        <f t="shared" si="28"/>
        <v>0.6849315068</v>
      </c>
      <c r="EZ40" s="116">
        <f t="shared" si="29"/>
        <v>2</v>
      </c>
      <c r="FA40" s="125">
        <f t="shared" si="30"/>
        <v>0.4520547945</v>
      </c>
      <c r="FB40" s="116">
        <f t="shared" si="31"/>
        <v>6</v>
      </c>
      <c r="FC40" s="125">
        <f t="shared" si="32"/>
        <v>0.06849315068</v>
      </c>
      <c r="FD40" s="116" t="str">
        <f t="shared" si="33"/>
        <v>Yes</v>
      </c>
      <c r="FE40" s="125">
        <f t="shared" si="34"/>
        <v>0.2465753425</v>
      </c>
      <c r="FF40" s="116" t="str">
        <f t="shared" ref="FF40:FH40" si="140">BJ40</f>
        <v>No</v>
      </c>
      <c r="FG40" s="116" t="str">
        <f t="shared" si="140"/>
        <v>No</v>
      </c>
      <c r="FH40" s="116" t="str">
        <f t="shared" si="140"/>
        <v>No</v>
      </c>
      <c r="FI40" s="112"/>
      <c r="FJ40" s="116" t="str">
        <f t="shared" si="36"/>
        <v>Transactional</v>
      </c>
      <c r="FK40" s="125">
        <f t="shared" si="37"/>
        <v>0.602739726</v>
      </c>
      <c r="FL40" s="116" t="str">
        <f t="shared" si="38"/>
        <v>B2C</v>
      </c>
      <c r="FM40" s="125">
        <f t="shared" si="39"/>
        <v>0.397260274</v>
      </c>
      <c r="FN40" s="116" t="str">
        <f t="shared" si="40"/>
        <v>Low</v>
      </c>
      <c r="FO40" s="125">
        <f t="shared" si="41"/>
        <v>0.4383561644</v>
      </c>
      <c r="FP40" s="116" t="str">
        <f t="shared" si="42"/>
        <v>High</v>
      </c>
      <c r="FQ40" s="125">
        <f t="shared" si="43"/>
        <v>0.6438356164</v>
      </c>
      <c r="FR40" s="112"/>
      <c r="FS40" s="123">
        <f t="shared" si="44"/>
        <v>1</v>
      </c>
      <c r="FT40" s="123">
        <f t="shared" si="45"/>
        <v>1</v>
      </c>
      <c r="FU40" s="123">
        <f t="shared" si="46"/>
        <v>5</v>
      </c>
      <c r="FV40" s="123">
        <f t="shared" si="47"/>
        <v>3.7</v>
      </c>
      <c r="FW40" s="119">
        <f t="shared" si="48"/>
        <v>10.7</v>
      </c>
      <c r="FX40" s="115">
        <f>1+((FW40-MIN(performance_ratings_sums))*(4)/(MAX(performance_ratings_sums) - MIN(performance_ratings_sums)))</f>
        <v>2.495327103</v>
      </c>
      <c r="FY40" s="116" t="str">
        <f t="shared" si="49"/>
        <v>Pre-Product</v>
      </c>
      <c r="FZ40" s="126">
        <f t="shared" si="50"/>
        <v>0.2328767123</v>
      </c>
      <c r="GA40" s="112"/>
      <c r="GB40" s="127">
        <f t="shared" si="51"/>
        <v>1</v>
      </c>
      <c r="GC40" s="116" t="str">
        <f t="shared" si="52"/>
        <v>Yes</v>
      </c>
      <c r="GD40" s="126">
        <f t="shared" si="53"/>
        <v>0.2328767123</v>
      </c>
      <c r="GE40" s="126" t="str">
        <f t="shared" si="54"/>
        <v>High</v>
      </c>
      <c r="GF40" s="126">
        <f t="shared" si="55"/>
        <v>0.4520547945</v>
      </c>
      <c r="GG40" s="126" t="str">
        <f t="shared" si="56"/>
        <v>High</v>
      </c>
      <c r="GH40" s="126">
        <f t="shared" si="57"/>
        <v>0.8082191781</v>
      </c>
      <c r="GI40" s="112"/>
      <c r="GJ40" s="116"/>
      <c r="GK40" s="119">
        <f t="shared" si="58"/>
        <v>12.90913336</v>
      </c>
      <c r="GL40" s="128">
        <f>1+((GK40-MIN(ratings_sums))*(4)/(MAX(ratings_sums) - MIN(ratings_sums)))</f>
        <v>2.75363426</v>
      </c>
    </row>
    <row r="41" ht="15.75" customHeight="1">
      <c r="A41" s="161" t="s">
        <v>702</v>
      </c>
      <c r="B41" s="15">
        <v>1689304.0</v>
      </c>
      <c r="C41" s="162" t="s">
        <v>722</v>
      </c>
      <c r="D41" s="163">
        <v>43707.649305555555</v>
      </c>
      <c r="E41" s="15" t="s">
        <v>392</v>
      </c>
      <c r="F41" s="164" t="s">
        <v>723</v>
      </c>
      <c r="G41" s="164" t="s">
        <v>724</v>
      </c>
      <c r="H41" s="173">
        <v>43705.0</v>
      </c>
      <c r="I41" s="162" t="s">
        <v>722</v>
      </c>
      <c r="J41" s="162" t="s">
        <v>725</v>
      </c>
      <c r="K41" s="15" t="s">
        <v>470</v>
      </c>
      <c r="L41" s="15" t="s">
        <v>349</v>
      </c>
      <c r="M41" s="15" t="s">
        <v>31</v>
      </c>
      <c r="N41" s="15" t="s">
        <v>82</v>
      </c>
      <c r="O41" s="15" t="s">
        <v>35</v>
      </c>
      <c r="Q41" s="15" t="s">
        <v>195</v>
      </c>
      <c r="R41" s="166"/>
      <c r="S41" s="120"/>
      <c r="U41" s="69">
        <v>7000000.0</v>
      </c>
      <c r="V41" s="132">
        <v>0.0</v>
      </c>
      <c r="W41" s="96">
        <f t="shared" si="125"/>
        <v>7000000</v>
      </c>
      <c r="X41" s="99">
        <f t="shared" si="126"/>
        <v>7000000</v>
      </c>
      <c r="Y41" s="99" t="str">
        <f t="shared" si="127"/>
        <v>$6M - $8M</v>
      </c>
      <c r="Z41" s="15" t="s">
        <v>86</v>
      </c>
      <c r="AA41" s="15" t="s">
        <v>37</v>
      </c>
      <c r="AB41" s="15" t="s">
        <v>88</v>
      </c>
      <c r="AC41" s="15" t="s">
        <v>493</v>
      </c>
      <c r="AD41" s="15" t="s">
        <v>39</v>
      </c>
      <c r="AE41" s="15" t="s">
        <v>89</v>
      </c>
      <c r="AF41" s="15" t="s">
        <v>469</v>
      </c>
      <c r="AG41" s="69">
        <v>2.5E11</v>
      </c>
      <c r="AH41" s="97" t="str">
        <f t="shared" si="128"/>
        <v>$250B-$500B</v>
      </c>
      <c r="AI41" s="69">
        <v>2.0E9</v>
      </c>
      <c r="AJ41" s="97" t="str">
        <f t="shared" si="129"/>
        <v>$1B-$5B</v>
      </c>
      <c r="AK41" s="167">
        <v>0.031</v>
      </c>
      <c r="AL41" s="88" t="str">
        <f t="shared" si="130"/>
        <v>0%-10%</v>
      </c>
      <c r="AM41" s="15">
        <v>9.0</v>
      </c>
      <c r="AN41" s="15" t="s">
        <v>39</v>
      </c>
      <c r="AO41" s="15" t="s">
        <v>89</v>
      </c>
      <c r="AP41" s="15" t="s">
        <v>90</v>
      </c>
      <c r="AQ41" s="168" t="s">
        <v>39</v>
      </c>
      <c r="AR41" s="168" t="s">
        <v>89</v>
      </c>
      <c r="AS41" s="15" t="s">
        <v>469</v>
      </c>
      <c r="AT41" s="15" t="s">
        <v>469</v>
      </c>
      <c r="AU41" s="15" t="s">
        <v>493</v>
      </c>
      <c r="AV41" s="15" t="s">
        <v>493</v>
      </c>
      <c r="AW41" s="69">
        <v>16172.0</v>
      </c>
      <c r="AX41" s="96" t="str">
        <f t="shared" si="131"/>
        <v>$10K - $50K</v>
      </c>
      <c r="AY41" s="69">
        <v>34184.0</v>
      </c>
      <c r="AZ41" s="69">
        <v>1715889.0</v>
      </c>
      <c r="BA41" s="103" t="str">
        <f t="shared" si="132"/>
        <v>$1M - $2M</v>
      </c>
      <c r="BB41" s="103">
        <f t="shared" si="133"/>
        <v>0.01992203458</v>
      </c>
      <c r="BC41" s="103" t="str">
        <f t="shared" si="134"/>
        <v>&lt; 10%</v>
      </c>
      <c r="BD41" s="15" t="s">
        <v>107</v>
      </c>
      <c r="BF41" s="15" t="s">
        <v>469</v>
      </c>
      <c r="BG41" s="15">
        <v>0.0</v>
      </c>
      <c r="BH41" s="15">
        <v>1.0</v>
      </c>
      <c r="BI41" s="90" t="s">
        <v>469</v>
      </c>
      <c r="BJ41" s="15" t="s">
        <v>469</v>
      </c>
      <c r="BK41" s="15" t="s">
        <v>469</v>
      </c>
      <c r="BL41" s="15" t="s">
        <v>469</v>
      </c>
      <c r="BM41" s="15">
        <v>2.0</v>
      </c>
      <c r="BN41" s="15">
        <v>3.0</v>
      </c>
      <c r="BO41" s="15">
        <v>0.0</v>
      </c>
      <c r="BP41" s="15">
        <v>0.0</v>
      </c>
      <c r="BQ41" s="130"/>
      <c r="BR41" s="169">
        <v>16.0</v>
      </c>
      <c r="BS41" s="169">
        <v>3.0</v>
      </c>
      <c r="BT41" s="169">
        <v>2.0</v>
      </c>
      <c r="BU41" s="170">
        <v>51.0</v>
      </c>
      <c r="BV41" s="170" t="s">
        <v>469</v>
      </c>
      <c r="BW41" s="130"/>
      <c r="BX41" s="169"/>
      <c r="BY41" s="169"/>
      <c r="BZ41" s="169"/>
      <c r="CA41" s="171"/>
      <c r="CB41" s="170"/>
      <c r="CC41" s="130"/>
      <c r="CD41" s="171"/>
      <c r="CE41" s="171"/>
      <c r="CF41" s="171"/>
      <c r="CG41" s="171"/>
      <c r="CH41" s="171"/>
      <c r="CI41" s="130"/>
      <c r="CJ41" s="171"/>
      <c r="CK41" s="171"/>
      <c r="CL41" s="171"/>
      <c r="CM41" s="171"/>
      <c r="CN41" s="171"/>
      <c r="CO41" s="108"/>
      <c r="CP41" s="172"/>
      <c r="CQ41" s="172"/>
      <c r="CR41" s="172"/>
      <c r="CS41" s="172"/>
      <c r="CT41" s="171"/>
      <c r="CU41" s="130"/>
      <c r="CV41" s="172"/>
      <c r="CW41" s="172"/>
      <c r="CX41" s="172"/>
      <c r="CY41" s="172"/>
      <c r="CZ41" s="171"/>
      <c r="DA41" s="130"/>
      <c r="DB41" s="172"/>
      <c r="DC41" s="172"/>
      <c r="DD41" s="172"/>
      <c r="DE41" s="172"/>
      <c r="DF41" s="171"/>
      <c r="DG41" s="130"/>
      <c r="DH41" s="172"/>
      <c r="DI41" s="172"/>
      <c r="DJ41" s="172"/>
      <c r="DK41" s="172"/>
      <c r="DL41" s="171"/>
      <c r="DM41" s="130"/>
      <c r="DN41" s="172"/>
      <c r="DO41" s="172"/>
      <c r="DP41" s="172"/>
      <c r="DQ41" s="172"/>
      <c r="DR41" s="171"/>
      <c r="DS41" s="130"/>
      <c r="DT41" s="108"/>
      <c r="DU41" s="108"/>
      <c r="DW41" s="109"/>
      <c r="DX41" s="110">
        <f t="shared" si="13"/>
        <v>16</v>
      </c>
      <c r="DY41" s="111">
        <f t="shared" ref="DY41:DZ41" si="141">sum(BS41,BY41,CE41,CK41,CQ41,CW41,DC41,DI41,DO41)</f>
        <v>3</v>
      </c>
      <c r="DZ41" s="111">
        <f t="shared" si="141"/>
        <v>2</v>
      </c>
      <c r="EA41" s="110">
        <f t="shared" si="15"/>
        <v>51</v>
      </c>
      <c r="EB41" s="99" t="str">
        <f t="shared" si="16"/>
        <v>35 - 54</v>
      </c>
      <c r="EC41" s="112"/>
      <c r="ED41" s="113">
        <f t="shared" si="17"/>
        <v>4.2</v>
      </c>
      <c r="EE41" s="114">
        <f>IF(V41 &lt;&gt; "", 1+((V41-MIN(discount_rates))*(4)/(MAX(discount_rates) - MIN(discount_rates))), "")</f>
        <v>1</v>
      </c>
      <c r="EF41" s="114" t="str">
        <f>IF(Q41="Debt", (1+((S41-MIN(interest_rates))*(4)/(MAX(interest_rates) - MIN(interest_rates)))), "")</f>
        <v/>
      </c>
      <c r="EG41" s="114" t="str">
        <f>IF(OR(Q41="Revenue Share", Q41="Profit Share"), (1+((R41-MIN(return_mutiples))*(4)/(MAX(return_mutiples) - MIN(return_mutiples)))), "")</f>
        <v/>
      </c>
      <c r="EH41" s="115">
        <f t="shared" si="18"/>
        <v>4.2</v>
      </c>
      <c r="EI41" s="116" t="str">
        <f t="shared" si="19"/>
        <v>SAFE</v>
      </c>
      <c r="EJ41" s="117">
        <f t="shared" si="20"/>
        <v>0.3561643836</v>
      </c>
      <c r="EK41" s="116" t="str">
        <f t="shared" si="21"/>
        <v>Early</v>
      </c>
      <c r="EL41" s="112"/>
      <c r="EM41" s="118">
        <f t="shared" si="22"/>
        <v>2.7</v>
      </c>
      <c r="EN41" s="118">
        <f t="shared" si="23"/>
        <v>1.7</v>
      </c>
      <c r="EO41" s="119">
        <f t="shared" si="24"/>
        <v>4.4</v>
      </c>
      <c r="EP41" s="115">
        <f>1+((EO41-MIN(market_ratings_sums))*(4)/(MAX(market_ratings_sums) - MIN(market_ratings_sums)))</f>
        <v>2.192982456</v>
      </c>
      <c r="EQ41" s="116" t="str">
        <f t="shared" si="25"/>
        <v>No</v>
      </c>
      <c r="ER41" s="112"/>
      <c r="ES41" s="123">
        <f>1+((DX41-MIN(industry_experiences))*(4)/(MAX(industry_experiences) - MIN(industry_experiences)))</f>
        <v>2.523809524</v>
      </c>
      <c r="ET41" s="123">
        <f>1+((DY41-MIN(previous_startups))*(4)/(MAX(previous_startups) - MIN(previous_startups)))</f>
        <v>2.333333333</v>
      </c>
      <c r="EU41" s="123">
        <f>1+((DZ41-MIN(exits))*(4)/(MAX(exits) - MIN(exits)))</f>
        <v>3</v>
      </c>
      <c r="EV41" s="119">
        <f t="shared" si="26"/>
        <v>7.857142857</v>
      </c>
      <c r="EW41" s="124">
        <f>1+((EV41-MIN(team_ratings_sums))*(4)/(MAX(team_ratings_sums) - MIN(team_ratings_sums)))</f>
        <v>3.660869565</v>
      </c>
      <c r="EX41" s="116" t="str">
        <f t="shared" si="27"/>
        <v>35 - 54</v>
      </c>
      <c r="EY41" s="125">
        <f t="shared" si="28"/>
        <v>0.6849315068</v>
      </c>
      <c r="EZ41" s="116">
        <f t="shared" si="29"/>
        <v>1</v>
      </c>
      <c r="FA41" s="125">
        <f t="shared" si="30"/>
        <v>0.4383561644</v>
      </c>
      <c r="FB41" s="116">
        <f t="shared" si="31"/>
        <v>3</v>
      </c>
      <c r="FC41" s="125">
        <f t="shared" si="32"/>
        <v>0.08219178082</v>
      </c>
      <c r="FD41" s="116" t="str">
        <f t="shared" si="33"/>
        <v>No</v>
      </c>
      <c r="FE41" s="125">
        <f t="shared" si="34"/>
        <v>0.7534246575</v>
      </c>
      <c r="FF41" s="116" t="str">
        <f t="shared" ref="FF41:FH41" si="142">BJ41</f>
        <v>No</v>
      </c>
      <c r="FG41" s="116" t="str">
        <f t="shared" si="142"/>
        <v>No</v>
      </c>
      <c r="FH41" s="116" t="str">
        <f t="shared" si="142"/>
        <v>No</v>
      </c>
      <c r="FI41" s="112"/>
      <c r="FJ41" s="116" t="str">
        <f t="shared" si="36"/>
        <v>Recurring</v>
      </c>
      <c r="FK41" s="125">
        <f t="shared" si="37"/>
        <v>0.397260274</v>
      </c>
      <c r="FL41" s="116" t="str">
        <f t="shared" si="38"/>
        <v>B2B</v>
      </c>
      <c r="FM41" s="125">
        <f t="shared" si="39"/>
        <v>0.2465753425</v>
      </c>
      <c r="FN41" s="116" t="str">
        <f t="shared" si="40"/>
        <v>High</v>
      </c>
      <c r="FO41" s="125">
        <f t="shared" si="41"/>
        <v>0.5616438356</v>
      </c>
      <c r="FP41" s="116" t="str">
        <f t="shared" si="42"/>
        <v>Low</v>
      </c>
      <c r="FQ41" s="125">
        <f t="shared" si="43"/>
        <v>0.3561643836</v>
      </c>
      <c r="FR41" s="112"/>
      <c r="FS41" s="123">
        <f t="shared" si="44"/>
        <v>5</v>
      </c>
      <c r="FT41" s="123">
        <f t="shared" si="45"/>
        <v>1.4</v>
      </c>
      <c r="FU41" s="123">
        <f t="shared" si="46"/>
        <v>5</v>
      </c>
      <c r="FV41" s="123">
        <f t="shared" si="47"/>
        <v>2.8</v>
      </c>
      <c r="FW41" s="119">
        <f t="shared" si="48"/>
        <v>14.2</v>
      </c>
      <c r="FX41" s="115">
        <f>1+((FW41-MIN(performance_ratings_sums))*(4)/(MAX(performance_ratings_sums) - MIN(performance_ratings_sums)))</f>
        <v>3.803738318</v>
      </c>
      <c r="FY41" s="116" t="str">
        <f t="shared" si="49"/>
        <v>Pre-Profit</v>
      </c>
      <c r="FZ41" s="126">
        <f t="shared" si="50"/>
        <v>0.4931506849</v>
      </c>
      <c r="GA41" s="112"/>
      <c r="GB41" s="127">
        <f t="shared" si="51"/>
        <v>3</v>
      </c>
      <c r="GC41" s="116" t="str">
        <f t="shared" si="52"/>
        <v>No</v>
      </c>
      <c r="GD41" s="126">
        <f t="shared" si="53"/>
        <v>0.7671232877</v>
      </c>
      <c r="GE41" s="126" t="str">
        <f t="shared" si="54"/>
        <v>High</v>
      </c>
      <c r="GF41" s="126">
        <f t="shared" si="55"/>
        <v>0.4520547945</v>
      </c>
      <c r="GG41" s="126" t="str">
        <f t="shared" si="56"/>
        <v>Low</v>
      </c>
      <c r="GH41" s="126">
        <f t="shared" si="57"/>
        <v>0.1917808219</v>
      </c>
      <c r="GI41" s="112"/>
      <c r="GJ41" s="116"/>
      <c r="GK41" s="119">
        <f t="shared" si="58"/>
        <v>16.85759034</v>
      </c>
      <c r="GL41" s="128">
        <f>1+((GK41-MIN(ratings_sums))*(4)/(MAX(ratings_sums) - MIN(ratings_sums)))</f>
        <v>3.965178672</v>
      </c>
    </row>
    <row r="42" ht="15.75" customHeight="1">
      <c r="A42" s="161" t="s">
        <v>702</v>
      </c>
      <c r="B42" s="15">
        <v>1745527.0</v>
      </c>
      <c r="C42" s="162" t="s">
        <v>726</v>
      </c>
      <c r="D42" s="163">
        <v>43708.57847222222</v>
      </c>
      <c r="E42" s="15" t="s">
        <v>363</v>
      </c>
      <c r="F42" s="164" t="s">
        <v>727</v>
      </c>
      <c r="G42" s="164" t="s">
        <v>728</v>
      </c>
      <c r="H42" s="173">
        <v>43735.0</v>
      </c>
      <c r="I42" s="162" t="s">
        <v>729</v>
      </c>
      <c r="J42" s="162" t="s">
        <v>730</v>
      </c>
      <c r="K42" s="15" t="s">
        <v>422</v>
      </c>
      <c r="L42" s="15" t="s">
        <v>390</v>
      </c>
      <c r="M42" s="15" t="s">
        <v>31</v>
      </c>
      <c r="N42" s="15" t="s">
        <v>32</v>
      </c>
      <c r="O42" s="15" t="s">
        <v>35</v>
      </c>
      <c r="Q42" s="15" t="s">
        <v>34</v>
      </c>
      <c r="R42" s="166"/>
      <c r="S42" s="120"/>
      <c r="T42" s="69"/>
      <c r="U42" s="69">
        <v>2500000.0</v>
      </c>
      <c r="V42" s="132">
        <v>0.0</v>
      </c>
      <c r="W42" s="96">
        <f t="shared" si="125"/>
        <v>2500000</v>
      </c>
      <c r="X42" s="98">
        <f t="shared" si="126"/>
        <v>2500000</v>
      </c>
      <c r="Y42" s="99" t="str">
        <f t="shared" si="127"/>
        <v>$2M - $4M</v>
      </c>
      <c r="Z42" s="15" t="s">
        <v>36</v>
      </c>
      <c r="AA42" s="15" t="s">
        <v>123</v>
      </c>
      <c r="AB42" s="15" t="s">
        <v>88</v>
      </c>
      <c r="AC42" s="15" t="s">
        <v>469</v>
      </c>
      <c r="AD42" s="15" t="s">
        <v>89</v>
      </c>
      <c r="AE42" s="15" t="s">
        <v>39</v>
      </c>
      <c r="AF42" s="15" t="s">
        <v>469</v>
      </c>
      <c r="AG42" s="69">
        <v>1.88E10</v>
      </c>
      <c r="AH42" s="97" t="str">
        <f t="shared" si="128"/>
        <v>$10B-$25B</v>
      </c>
      <c r="AI42" s="69">
        <v>4.4E9</v>
      </c>
      <c r="AJ42" s="97" t="str">
        <f t="shared" si="129"/>
        <v>$1B-$5B</v>
      </c>
      <c r="AK42" s="167">
        <v>0.372</v>
      </c>
      <c r="AL42" s="88" t="str">
        <f t="shared" si="130"/>
        <v>30%-40%</v>
      </c>
      <c r="AM42" s="15">
        <v>6.0</v>
      </c>
      <c r="AN42" s="15" t="s">
        <v>89</v>
      </c>
      <c r="AO42" s="15" t="s">
        <v>89</v>
      </c>
      <c r="AP42" s="15" t="s">
        <v>40</v>
      </c>
      <c r="AQ42" s="168" t="s">
        <v>39</v>
      </c>
      <c r="AR42" s="168" t="s">
        <v>89</v>
      </c>
      <c r="AS42" s="15" t="s">
        <v>469</v>
      </c>
      <c r="AT42" s="15" t="s">
        <v>493</v>
      </c>
      <c r="AU42" s="15" t="s">
        <v>469</v>
      </c>
      <c r="AV42" s="15" t="s">
        <v>469</v>
      </c>
      <c r="AW42" s="69">
        <v>0.0</v>
      </c>
      <c r="AX42" s="96" t="str">
        <f t="shared" si="131"/>
        <v>&lt; $10K</v>
      </c>
      <c r="AY42" s="69">
        <v>111.0</v>
      </c>
      <c r="AZ42" s="69">
        <v>1000000.0</v>
      </c>
      <c r="BA42" s="103" t="str">
        <f t="shared" si="132"/>
        <v>$500K - $1M</v>
      </c>
      <c r="BB42" s="103">
        <f t="shared" si="133"/>
        <v>0.000111</v>
      </c>
      <c r="BC42" s="103" t="str">
        <f t="shared" si="134"/>
        <v>&lt; 10%</v>
      </c>
      <c r="BD42" s="15" t="s">
        <v>41</v>
      </c>
      <c r="BF42" s="15" t="s">
        <v>469</v>
      </c>
      <c r="BG42" s="15">
        <v>0.0</v>
      </c>
      <c r="BH42" s="15">
        <v>1.0</v>
      </c>
      <c r="BI42" s="90" t="s">
        <v>469</v>
      </c>
      <c r="BJ42" s="15" t="s">
        <v>469</v>
      </c>
      <c r="BK42" s="15" t="s">
        <v>469</v>
      </c>
      <c r="BL42" s="15" t="s">
        <v>469</v>
      </c>
      <c r="BM42" s="15">
        <v>2.0</v>
      </c>
      <c r="BN42" s="15">
        <v>5.0</v>
      </c>
      <c r="BO42" s="15">
        <v>1.0</v>
      </c>
      <c r="BP42" s="15">
        <v>0.0</v>
      </c>
      <c r="BQ42" s="130"/>
      <c r="BR42" s="169">
        <v>0.0</v>
      </c>
      <c r="BS42" s="169">
        <v>0.0</v>
      </c>
      <c r="BT42" s="169">
        <v>0.0</v>
      </c>
      <c r="BU42" s="169">
        <v>47.0</v>
      </c>
      <c r="BV42" s="170" t="s">
        <v>469</v>
      </c>
      <c r="BW42" s="130"/>
      <c r="BX42" s="169"/>
      <c r="BY42" s="169"/>
      <c r="BZ42" s="169"/>
      <c r="CA42" s="169"/>
      <c r="CB42" s="170"/>
      <c r="CC42" s="130"/>
      <c r="CD42" s="169"/>
      <c r="CE42" s="169"/>
      <c r="CF42" s="169"/>
      <c r="CG42" s="169"/>
      <c r="CH42" s="170"/>
      <c r="CI42" s="130"/>
      <c r="CJ42" s="171"/>
      <c r="CK42" s="171"/>
      <c r="CL42" s="171"/>
      <c r="CM42" s="171"/>
      <c r="CN42" s="171"/>
      <c r="CO42" s="108"/>
      <c r="CP42" s="172"/>
      <c r="CQ42" s="172"/>
      <c r="CR42" s="172"/>
      <c r="CS42" s="171"/>
      <c r="CT42" s="171"/>
      <c r="CU42" s="130"/>
      <c r="CV42" s="172"/>
      <c r="CW42" s="172"/>
      <c r="CX42" s="172"/>
      <c r="CY42" s="171"/>
      <c r="CZ42" s="171"/>
      <c r="DA42" s="130"/>
      <c r="DB42" s="172"/>
      <c r="DC42" s="172"/>
      <c r="DD42" s="172"/>
      <c r="DE42" s="171"/>
      <c r="DF42" s="171"/>
      <c r="DG42" s="130"/>
      <c r="DH42" s="172"/>
      <c r="DI42" s="172"/>
      <c r="DJ42" s="172"/>
      <c r="DK42" s="171"/>
      <c r="DL42" s="171"/>
      <c r="DM42" s="130"/>
      <c r="DN42" s="172"/>
      <c r="DO42" s="172"/>
      <c r="DP42" s="172"/>
      <c r="DQ42" s="171"/>
      <c r="DR42" s="171"/>
      <c r="DS42" s="130"/>
      <c r="DT42" s="108"/>
      <c r="DU42" s="108"/>
      <c r="DW42" s="109"/>
      <c r="DX42" s="110">
        <f t="shared" si="13"/>
        <v>0</v>
      </c>
      <c r="DY42" s="111">
        <f t="shared" ref="DY42:DZ42" si="143">sum(BS42,BY42,CE42,CK42,CQ42,CW42,DC42,DI42,DO42)</f>
        <v>0</v>
      </c>
      <c r="DZ42" s="111">
        <f t="shared" si="143"/>
        <v>0</v>
      </c>
      <c r="EA42" s="110">
        <f t="shared" si="15"/>
        <v>47</v>
      </c>
      <c r="EB42" s="99" t="str">
        <f t="shared" si="16"/>
        <v>35 - 54</v>
      </c>
      <c r="EC42" s="112"/>
      <c r="ED42" s="113">
        <f t="shared" si="17"/>
        <v>4.6</v>
      </c>
      <c r="EE42" s="114">
        <f>IF(V42 &lt;&gt; "", 1+((V42-MIN(discount_rates))*(4)/(MAX(discount_rates) - MIN(discount_rates))), "")</f>
        <v>1</v>
      </c>
      <c r="EF42" s="114" t="str">
        <f>IF(Q42="Debt", (1+((S42-MIN(interest_rates))*(4)/(MAX(interest_rates) - MIN(interest_rates)))), "")</f>
        <v/>
      </c>
      <c r="EG42" s="114" t="str">
        <f>IF(OR(Q42="Revenue Share", Q42="Profit Share"), (1+((R42-MIN(return_mutiples))*(4)/(MAX(return_mutiples) - MIN(return_mutiples)))), "")</f>
        <v/>
      </c>
      <c r="EH42" s="115">
        <f t="shared" si="18"/>
        <v>4.6</v>
      </c>
      <c r="EI42" s="116" t="str">
        <f t="shared" si="19"/>
        <v>CAFES</v>
      </c>
      <c r="EJ42" s="117">
        <f t="shared" si="20"/>
        <v>0.1232876712</v>
      </c>
      <c r="EK42" s="116" t="str">
        <f t="shared" si="21"/>
        <v>Early</v>
      </c>
      <c r="EL42" s="112"/>
      <c r="EM42" s="118">
        <f t="shared" si="22"/>
        <v>2.7</v>
      </c>
      <c r="EN42" s="118">
        <f t="shared" si="23"/>
        <v>3.7</v>
      </c>
      <c r="EO42" s="119">
        <f t="shared" si="24"/>
        <v>6.4</v>
      </c>
      <c r="EP42" s="115">
        <f>1+((EO42-MIN(market_ratings_sums))*(4)/(MAX(market_ratings_sums) - MIN(market_ratings_sums)))</f>
        <v>3.596491228</v>
      </c>
      <c r="EQ42" s="116" t="str">
        <f t="shared" si="25"/>
        <v>No</v>
      </c>
      <c r="ER42" s="112"/>
      <c r="ES42" s="123">
        <f>1+((DX42-MIN(industry_experiences))*(4)/(MAX(industry_experiences) - MIN(industry_experiences)))</f>
        <v>1</v>
      </c>
      <c r="ET42" s="123">
        <f>1+((DY42-MIN(previous_startups))*(4)/(MAX(previous_startups) - MIN(previous_startups)))</f>
        <v>1</v>
      </c>
      <c r="EU42" s="123">
        <f>1+((DZ42-MIN(exits))*(4)/(MAX(exits) - MIN(exits)))</f>
        <v>1</v>
      </c>
      <c r="EV42" s="119">
        <f t="shared" si="26"/>
        <v>3</v>
      </c>
      <c r="EW42" s="124">
        <f>1+((EV42-MIN(team_ratings_sums))*(4)/(MAX(team_ratings_sums) - MIN(team_ratings_sums)))</f>
        <v>1</v>
      </c>
      <c r="EX42" s="116" t="str">
        <f t="shared" si="27"/>
        <v>35 - 54</v>
      </c>
      <c r="EY42" s="125">
        <f t="shared" si="28"/>
        <v>0.6849315068</v>
      </c>
      <c r="EZ42" s="116">
        <f t="shared" si="29"/>
        <v>1</v>
      </c>
      <c r="FA42" s="125">
        <f t="shared" si="30"/>
        <v>0.4383561644</v>
      </c>
      <c r="FB42" s="116">
        <f t="shared" si="31"/>
        <v>5</v>
      </c>
      <c r="FC42" s="125">
        <f t="shared" si="32"/>
        <v>0.1369863014</v>
      </c>
      <c r="FD42" s="116" t="str">
        <f t="shared" si="33"/>
        <v>No</v>
      </c>
      <c r="FE42" s="125">
        <f t="shared" si="34"/>
        <v>0.7534246575</v>
      </c>
      <c r="FF42" s="116" t="str">
        <f t="shared" ref="FF42:FH42" si="144">BJ42</f>
        <v>No</v>
      </c>
      <c r="FG42" s="116" t="str">
        <f t="shared" si="144"/>
        <v>No</v>
      </c>
      <c r="FH42" s="116" t="str">
        <f t="shared" si="144"/>
        <v>No</v>
      </c>
      <c r="FI42" s="112"/>
      <c r="FJ42" s="116" t="str">
        <f t="shared" si="36"/>
        <v>Transactional</v>
      </c>
      <c r="FK42" s="125">
        <f t="shared" si="37"/>
        <v>0.602739726</v>
      </c>
      <c r="FL42" s="116" t="str">
        <f t="shared" si="38"/>
        <v>B2B/B2C</v>
      </c>
      <c r="FM42" s="125">
        <f t="shared" si="39"/>
        <v>0.3287671233</v>
      </c>
      <c r="FN42" s="116" t="str">
        <f t="shared" si="40"/>
        <v>Low</v>
      </c>
      <c r="FO42" s="125">
        <f t="shared" si="41"/>
        <v>0.4383561644</v>
      </c>
      <c r="FP42" s="116" t="str">
        <f t="shared" si="42"/>
        <v>High</v>
      </c>
      <c r="FQ42" s="125">
        <f t="shared" si="43"/>
        <v>0.6438356164</v>
      </c>
      <c r="FR42" s="112"/>
      <c r="FS42" s="123">
        <f t="shared" si="44"/>
        <v>1</v>
      </c>
      <c r="FT42" s="123">
        <f t="shared" si="45"/>
        <v>1</v>
      </c>
      <c r="FU42" s="123">
        <f t="shared" si="46"/>
        <v>5</v>
      </c>
      <c r="FV42" s="123">
        <f t="shared" si="47"/>
        <v>3.2</v>
      </c>
      <c r="FW42" s="119">
        <f t="shared" si="48"/>
        <v>10.2</v>
      </c>
      <c r="FX42" s="115">
        <f>1+((FW42-MIN(performance_ratings_sums))*(4)/(MAX(performance_ratings_sums) - MIN(performance_ratings_sums)))</f>
        <v>2.308411215</v>
      </c>
      <c r="FY42" s="116" t="str">
        <f t="shared" si="49"/>
        <v>Pre-Product</v>
      </c>
      <c r="FZ42" s="126">
        <f t="shared" si="50"/>
        <v>0.2328767123</v>
      </c>
      <c r="GA42" s="112"/>
      <c r="GB42" s="127">
        <f t="shared" si="51"/>
        <v>1</v>
      </c>
      <c r="GC42" s="116" t="str">
        <f t="shared" si="52"/>
        <v>Yes</v>
      </c>
      <c r="GD42" s="126">
        <f t="shared" si="53"/>
        <v>0.2328767123</v>
      </c>
      <c r="GE42" s="126" t="str">
        <f t="shared" si="54"/>
        <v>High</v>
      </c>
      <c r="GF42" s="126">
        <f t="shared" si="55"/>
        <v>0.4520547945</v>
      </c>
      <c r="GG42" s="126" t="str">
        <f t="shared" si="56"/>
        <v>Low</v>
      </c>
      <c r="GH42" s="126">
        <f t="shared" si="57"/>
        <v>0.1917808219</v>
      </c>
      <c r="GI42" s="112"/>
      <c r="GJ42" s="116"/>
      <c r="GK42" s="119">
        <f t="shared" si="58"/>
        <v>12.50490244</v>
      </c>
      <c r="GL42" s="128">
        <f>1+((GK42-MIN(ratings_sums))*(4)/(MAX(ratings_sums) - MIN(ratings_sums)))</f>
        <v>2.629600059</v>
      </c>
    </row>
    <row r="43" ht="15.75" customHeight="1">
      <c r="A43" s="161" t="s">
        <v>702</v>
      </c>
      <c r="B43" s="15">
        <v>1785164.0</v>
      </c>
      <c r="C43" s="162" t="s">
        <v>731</v>
      </c>
      <c r="D43" s="163">
        <v>43711.39097222222</v>
      </c>
      <c r="E43" s="15" t="s">
        <v>198</v>
      </c>
      <c r="F43" s="164" t="s">
        <v>732</v>
      </c>
      <c r="G43" s="164" t="s">
        <v>733</v>
      </c>
      <c r="H43" s="173">
        <v>43693.0</v>
      </c>
      <c r="I43" s="162" t="s">
        <v>734</v>
      </c>
      <c r="J43" s="162" t="s">
        <v>735</v>
      </c>
      <c r="K43" s="15" t="s">
        <v>383</v>
      </c>
      <c r="L43" s="15" t="s">
        <v>390</v>
      </c>
      <c r="M43" s="15" t="s">
        <v>31</v>
      </c>
      <c r="N43" s="15" t="s">
        <v>32</v>
      </c>
      <c r="O43" s="15" t="s">
        <v>35</v>
      </c>
      <c r="Q43" s="15" t="s">
        <v>84</v>
      </c>
      <c r="R43" s="166"/>
      <c r="S43" s="120"/>
      <c r="U43" s="69">
        <v>3000000.0</v>
      </c>
      <c r="V43" s="132">
        <v>0.0</v>
      </c>
      <c r="W43" s="96">
        <f t="shared" si="125"/>
        <v>3000000</v>
      </c>
      <c r="X43" s="99">
        <f t="shared" si="126"/>
        <v>3000000</v>
      </c>
      <c r="Y43" s="99" t="str">
        <f t="shared" si="127"/>
        <v>$2M - $4M</v>
      </c>
      <c r="Z43" s="15" t="s">
        <v>86</v>
      </c>
      <c r="AA43" s="15" t="s">
        <v>37</v>
      </c>
      <c r="AB43" s="15" t="s">
        <v>38</v>
      </c>
      <c r="AC43" s="15" t="s">
        <v>469</v>
      </c>
      <c r="AD43" s="15" t="s">
        <v>89</v>
      </c>
      <c r="AE43" s="15" t="s">
        <v>39</v>
      </c>
      <c r="AF43" s="15" t="s">
        <v>469</v>
      </c>
      <c r="AG43" s="69">
        <v>2.02251325E10</v>
      </c>
      <c r="AH43" s="97" t="str">
        <f t="shared" si="128"/>
        <v>$10B-$25B</v>
      </c>
      <c r="AI43" s="69">
        <v>2.02251325E10</v>
      </c>
      <c r="AJ43" s="97" t="str">
        <f t="shared" si="129"/>
        <v>$10B-$25B</v>
      </c>
      <c r="AK43" s="167">
        <v>0.135</v>
      </c>
      <c r="AL43" s="88" t="str">
        <f t="shared" si="130"/>
        <v>10%-20%</v>
      </c>
      <c r="AM43" s="15">
        <v>15.0</v>
      </c>
      <c r="AN43" s="15" t="s">
        <v>89</v>
      </c>
      <c r="AO43" s="15" t="s">
        <v>89</v>
      </c>
      <c r="AP43" s="15" t="s">
        <v>40</v>
      </c>
      <c r="AQ43" s="168" t="s">
        <v>39</v>
      </c>
      <c r="AR43" s="168" t="s">
        <v>89</v>
      </c>
      <c r="AS43" s="15" t="s">
        <v>469</v>
      </c>
      <c r="AT43" s="15" t="s">
        <v>469</v>
      </c>
      <c r="AU43" s="15" t="s">
        <v>469</v>
      </c>
      <c r="AV43" s="15" t="s">
        <v>469</v>
      </c>
      <c r="AW43" s="69">
        <v>0.0</v>
      </c>
      <c r="AX43" s="96" t="str">
        <f t="shared" si="131"/>
        <v>&lt; $10K</v>
      </c>
      <c r="AY43" s="69">
        <v>27.0</v>
      </c>
      <c r="AZ43" s="69">
        <v>0.0</v>
      </c>
      <c r="BA43" s="103" t="str">
        <f t="shared" si="132"/>
        <v>&lt; $10K</v>
      </c>
      <c r="BB43" s="103">
        <f t="shared" si="133"/>
        <v>1</v>
      </c>
      <c r="BC43" s="103" t="str">
        <f t="shared" si="134"/>
        <v>90% - 100%</v>
      </c>
      <c r="BD43" s="15" t="s">
        <v>41</v>
      </c>
      <c r="BF43" s="15" t="s">
        <v>469</v>
      </c>
      <c r="BG43" s="15">
        <v>0.0</v>
      </c>
      <c r="BH43" s="15">
        <v>1.0</v>
      </c>
      <c r="BI43" s="90" t="s">
        <v>469</v>
      </c>
      <c r="BJ43" s="15" t="s">
        <v>469</v>
      </c>
      <c r="BK43" s="15" t="s">
        <v>469</v>
      </c>
      <c r="BL43" s="15" t="s">
        <v>493</v>
      </c>
      <c r="BM43" s="15">
        <v>4.0</v>
      </c>
      <c r="BN43" s="15">
        <v>1.0</v>
      </c>
      <c r="BO43" s="15">
        <v>0.0</v>
      </c>
      <c r="BP43" s="15">
        <v>0.0</v>
      </c>
      <c r="BQ43" s="130"/>
      <c r="BR43" s="169">
        <v>0.0</v>
      </c>
      <c r="BS43" s="169">
        <v>0.0</v>
      </c>
      <c r="BT43" s="169">
        <v>0.0</v>
      </c>
      <c r="BU43" s="169">
        <v>49.0</v>
      </c>
      <c r="BV43" s="170" t="s">
        <v>469</v>
      </c>
      <c r="BW43" s="130"/>
      <c r="BX43" s="171"/>
      <c r="BY43" s="171"/>
      <c r="BZ43" s="171"/>
      <c r="CA43" s="171"/>
      <c r="CB43" s="171"/>
      <c r="CC43" s="130"/>
      <c r="CD43" s="171"/>
      <c r="CE43" s="171"/>
      <c r="CF43" s="171"/>
      <c r="CG43" s="171"/>
      <c r="CH43" s="171"/>
      <c r="CI43" s="130"/>
      <c r="CJ43" s="171"/>
      <c r="CK43" s="171"/>
      <c r="CL43" s="171"/>
      <c r="CM43" s="171"/>
      <c r="CN43" s="171"/>
      <c r="CO43" s="108"/>
      <c r="CP43" s="172"/>
      <c r="CQ43" s="172"/>
      <c r="CR43" s="172"/>
      <c r="CS43" s="172"/>
      <c r="CT43" s="171"/>
      <c r="CU43" s="130"/>
      <c r="CV43" s="172"/>
      <c r="CW43" s="172"/>
      <c r="CX43" s="172"/>
      <c r="CY43" s="172"/>
      <c r="CZ43" s="171"/>
      <c r="DA43" s="130"/>
      <c r="DB43" s="172"/>
      <c r="DC43" s="172"/>
      <c r="DD43" s="172"/>
      <c r="DE43" s="172"/>
      <c r="DF43" s="171"/>
      <c r="DG43" s="130"/>
      <c r="DH43" s="172"/>
      <c r="DI43" s="172"/>
      <c r="DJ43" s="172"/>
      <c r="DK43" s="172"/>
      <c r="DL43" s="171"/>
      <c r="DM43" s="130"/>
      <c r="DN43" s="172"/>
      <c r="DO43" s="172"/>
      <c r="DP43" s="172"/>
      <c r="DQ43" s="172"/>
      <c r="DR43" s="171"/>
      <c r="DS43" s="130"/>
      <c r="DT43" s="108"/>
      <c r="DU43" s="108"/>
      <c r="DW43" s="109"/>
      <c r="DX43" s="110">
        <f t="shared" si="13"/>
        <v>0</v>
      </c>
      <c r="DY43" s="111">
        <f t="shared" ref="DY43:DZ43" si="145">sum(BS43,BY43,CE43,CK43,CQ43,CW43,DC43,DI43,DO43)</f>
        <v>0</v>
      </c>
      <c r="DZ43" s="111">
        <f t="shared" si="145"/>
        <v>0</v>
      </c>
      <c r="EA43" s="110">
        <f t="shared" si="15"/>
        <v>49</v>
      </c>
      <c r="EB43" s="99" t="str">
        <f t="shared" si="16"/>
        <v>35 - 54</v>
      </c>
      <c r="EC43" s="112"/>
      <c r="ED43" s="113">
        <f t="shared" si="17"/>
        <v>4.6</v>
      </c>
      <c r="EE43" s="114">
        <f>IF(V43 &lt;&gt; "", 1+((V43-MIN(discount_rates))*(4)/(MAX(discount_rates) - MIN(discount_rates))), "")</f>
        <v>1</v>
      </c>
      <c r="EF43" s="114" t="str">
        <f>IF(Q43="Debt", (1+((S43-MIN(interest_rates))*(4)/(MAX(interest_rates) - MIN(interest_rates)))), "")</f>
        <v/>
      </c>
      <c r="EG43" s="114" t="str">
        <f>IF(OR(Q43="Revenue Share", Q43="Profit Share"), (1+((R43-MIN(return_mutiples))*(4)/(MAX(return_mutiples) - MIN(return_mutiples)))), "")</f>
        <v/>
      </c>
      <c r="EH43" s="115">
        <f t="shared" si="18"/>
        <v>4.6</v>
      </c>
      <c r="EI43" s="116" t="str">
        <f t="shared" si="19"/>
        <v>Convertible Note</v>
      </c>
      <c r="EJ43" s="117">
        <f t="shared" si="20"/>
        <v>0.1232876712</v>
      </c>
      <c r="EK43" s="116" t="str">
        <f t="shared" si="21"/>
        <v>Early</v>
      </c>
      <c r="EL43" s="112"/>
      <c r="EM43" s="118">
        <f t="shared" si="22"/>
        <v>3.3</v>
      </c>
      <c r="EN43" s="118">
        <f t="shared" si="23"/>
        <v>2.3</v>
      </c>
      <c r="EO43" s="119">
        <f t="shared" si="24"/>
        <v>5.6</v>
      </c>
      <c r="EP43" s="115">
        <f>1+((EO43-MIN(market_ratings_sums))*(4)/(MAX(market_ratings_sums) - MIN(market_ratings_sums)))</f>
        <v>3.035087719</v>
      </c>
      <c r="EQ43" s="116" t="str">
        <f t="shared" si="25"/>
        <v>No</v>
      </c>
      <c r="ER43" s="112"/>
      <c r="ES43" s="123">
        <f>1+((DX43-MIN(industry_experiences))*(4)/(MAX(industry_experiences) - MIN(industry_experiences)))</f>
        <v>1</v>
      </c>
      <c r="ET43" s="123">
        <f>1+((DY43-MIN(previous_startups))*(4)/(MAX(previous_startups) - MIN(previous_startups)))</f>
        <v>1</v>
      </c>
      <c r="EU43" s="123">
        <f>1+((DZ43-MIN(exits))*(4)/(MAX(exits) - MIN(exits)))</f>
        <v>1</v>
      </c>
      <c r="EV43" s="119">
        <f t="shared" si="26"/>
        <v>3</v>
      </c>
      <c r="EW43" s="124">
        <f>1+((EV43-MIN(team_ratings_sums))*(4)/(MAX(team_ratings_sums) - MIN(team_ratings_sums)))</f>
        <v>1</v>
      </c>
      <c r="EX43" s="116" t="str">
        <f t="shared" si="27"/>
        <v>35 - 54</v>
      </c>
      <c r="EY43" s="125">
        <f t="shared" si="28"/>
        <v>0.6849315068</v>
      </c>
      <c r="EZ43" s="116">
        <f t="shared" si="29"/>
        <v>1</v>
      </c>
      <c r="FA43" s="125">
        <f t="shared" si="30"/>
        <v>0.4383561644</v>
      </c>
      <c r="FB43" s="116">
        <f t="shared" si="31"/>
        <v>1</v>
      </c>
      <c r="FC43" s="125">
        <f t="shared" si="32"/>
        <v>0.08219178082</v>
      </c>
      <c r="FD43" s="116" t="str">
        <f t="shared" si="33"/>
        <v>No</v>
      </c>
      <c r="FE43" s="125">
        <f t="shared" si="34"/>
        <v>0.7534246575</v>
      </c>
      <c r="FF43" s="116" t="str">
        <f t="shared" ref="FF43:FH43" si="146">BJ43</f>
        <v>No</v>
      </c>
      <c r="FG43" s="116" t="str">
        <f t="shared" si="146"/>
        <v>No</v>
      </c>
      <c r="FH43" s="116" t="str">
        <f t="shared" si="146"/>
        <v>Yes</v>
      </c>
      <c r="FI43" s="112"/>
      <c r="FJ43" s="116" t="str">
        <f t="shared" si="36"/>
        <v>Recurring</v>
      </c>
      <c r="FK43" s="125">
        <f t="shared" si="37"/>
        <v>0.397260274</v>
      </c>
      <c r="FL43" s="116" t="str">
        <f t="shared" si="38"/>
        <v>B2B</v>
      </c>
      <c r="FM43" s="125">
        <f t="shared" si="39"/>
        <v>0.2465753425</v>
      </c>
      <c r="FN43" s="116" t="str">
        <f t="shared" si="40"/>
        <v>Low</v>
      </c>
      <c r="FO43" s="125">
        <f t="shared" si="41"/>
        <v>0.4383561644</v>
      </c>
      <c r="FP43" s="116" t="str">
        <f t="shared" si="42"/>
        <v>High</v>
      </c>
      <c r="FQ43" s="125">
        <f t="shared" si="43"/>
        <v>0.6438356164</v>
      </c>
      <c r="FR43" s="112"/>
      <c r="FS43" s="123">
        <f t="shared" si="44"/>
        <v>1</v>
      </c>
      <c r="FT43" s="123">
        <f t="shared" si="45"/>
        <v>1</v>
      </c>
      <c r="FU43" s="123">
        <f t="shared" si="46"/>
        <v>1</v>
      </c>
      <c r="FV43" s="123">
        <f t="shared" si="47"/>
        <v>5</v>
      </c>
      <c r="FW43" s="119">
        <f t="shared" si="48"/>
        <v>8</v>
      </c>
      <c r="FX43" s="115">
        <f>1+((FW43-MIN(performance_ratings_sums))*(4)/(MAX(performance_ratings_sums) - MIN(performance_ratings_sums)))</f>
        <v>1.485981308</v>
      </c>
      <c r="FY43" s="116" t="str">
        <f t="shared" si="49"/>
        <v>Pre-Product</v>
      </c>
      <c r="FZ43" s="126">
        <f t="shared" si="50"/>
        <v>0.2328767123</v>
      </c>
      <c r="GA43" s="112"/>
      <c r="GB43" s="127">
        <f t="shared" si="51"/>
        <v>1</v>
      </c>
      <c r="GC43" s="116" t="str">
        <f t="shared" si="52"/>
        <v>No</v>
      </c>
      <c r="GD43" s="126">
        <f t="shared" si="53"/>
        <v>0.7671232877</v>
      </c>
      <c r="GE43" s="126" t="str">
        <f t="shared" si="54"/>
        <v>High</v>
      </c>
      <c r="GF43" s="126">
        <f t="shared" si="55"/>
        <v>0.4520547945</v>
      </c>
      <c r="GG43" s="126" t="str">
        <f t="shared" si="56"/>
        <v>Low</v>
      </c>
      <c r="GH43" s="126">
        <f t="shared" si="57"/>
        <v>0.1917808219</v>
      </c>
      <c r="GI43" s="112"/>
      <c r="GJ43" s="116"/>
      <c r="GK43" s="119">
        <f t="shared" si="58"/>
        <v>11.12106903</v>
      </c>
      <c r="GL43" s="128">
        <f>1+((GK43-MIN(ratings_sums))*(4)/(MAX(ratings_sums) - MIN(ratings_sums)))</f>
        <v>2.204984659</v>
      </c>
    </row>
    <row r="44" ht="15.75" customHeight="1">
      <c r="A44" s="161" t="s">
        <v>702</v>
      </c>
      <c r="B44" s="15">
        <v>1728036.0</v>
      </c>
      <c r="C44" s="162" t="s">
        <v>736</v>
      </c>
      <c r="D44" s="163">
        <v>43712.60972222222</v>
      </c>
      <c r="E44" s="15" t="s">
        <v>363</v>
      </c>
      <c r="F44" s="164" t="s">
        <v>737</v>
      </c>
      <c r="G44" s="164" t="s">
        <v>738</v>
      </c>
      <c r="H44" s="173">
        <v>43216.0</v>
      </c>
      <c r="I44" s="162" t="s">
        <v>736</v>
      </c>
      <c r="J44" s="162" t="s">
        <v>739</v>
      </c>
      <c r="K44" s="15" t="s">
        <v>422</v>
      </c>
      <c r="L44" s="15" t="s">
        <v>390</v>
      </c>
      <c r="M44" s="15" t="s">
        <v>81</v>
      </c>
      <c r="N44" s="15" t="s">
        <v>101</v>
      </c>
      <c r="O44" s="15" t="s">
        <v>35</v>
      </c>
      <c r="Q44" s="15" t="s">
        <v>34</v>
      </c>
      <c r="R44" s="166"/>
      <c r="S44" s="120"/>
      <c r="T44" s="69"/>
      <c r="U44" s="69">
        <v>1900000.0</v>
      </c>
      <c r="V44" s="132">
        <v>0.0</v>
      </c>
      <c r="W44" s="96">
        <f t="shared" si="125"/>
        <v>1900000</v>
      </c>
      <c r="X44" s="98">
        <f t="shared" si="126"/>
        <v>1900000</v>
      </c>
      <c r="Y44" s="99" t="str">
        <f t="shared" si="127"/>
        <v>$1M - $2M</v>
      </c>
      <c r="Z44" s="15" t="s">
        <v>36</v>
      </c>
      <c r="AA44" s="15" t="s">
        <v>123</v>
      </c>
      <c r="AB44" s="15" t="s">
        <v>38</v>
      </c>
      <c r="AC44" s="15" t="s">
        <v>469</v>
      </c>
      <c r="AD44" s="15" t="s">
        <v>39</v>
      </c>
      <c r="AE44" s="15" t="s">
        <v>89</v>
      </c>
      <c r="AF44" s="15" t="s">
        <v>469</v>
      </c>
      <c r="AG44" s="69">
        <v>1.2296E10</v>
      </c>
      <c r="AH44" s="97" t="str">
        <f t="shared" si="128"/>
        <v>$10B-$25B</v>
      </c>
      <c r="AI44" s="69">
        <v>4.3036E9</v>
      </c>
      <c r="AJ44" s="97" t="str">
        <f t="shared" si="129"/>
        <v>$1B-$5B</v>
      </c>
      <c r="AK44" s="167">
        <v>0.07</v>
      </c>
      <c r="AL44" s="88" t="str">
        <f t="shared" si="130"/>
        <v>0%-10%</v>
      </c>
      <c r="AM44" s="15">
        <v>100.0</v>
      </c>
      <c r="AN44" s="15" t="s">
        <v>89</v>
      </c>
      <c r="AO44" s="15" t="s">
        <v>89</v>
      </c>
      <c r="AP44" s="15" t="s">
        <v>40</v>
      </c>
      <c r="AQ44" s="168" t="s">
        <v>89</v>
      </c>
      <c r="AR44" s="168" t="s">
        <v>39</v>
      </c>
      <c r="AS44" s="15" t="s">
        <v>469</v>
      </c>
      <c r="AT44" s="15" t="s">
        <v>469</v>
      </c>
      <c r="AU44" s="15" t="s">
        <v>493</v>
      </c>
      <c r="AV44" s="15" t="s">
        <v>493</v>
      </c>
      <c r="AW44" s="69">
        <v>286000.0</v>
      </c>
      <c r="AX44" s="96" t="str">
        <f t="shared" si="131"/>
        <v>$100K - $500K</v>
      </c>
      <c r="AY44" s="69">
        <v>5250.0</v>
      </c>
      <c r="AZ44" s="69">
        <v>0.0</v>
      </c>
      <c r="BA44" s="103" t="str">
        <f t="shared" si="132"/>
        <v>&lt; $10K</v>
      </c>
      <c r="BB44" s="103">
        <f t="shared" si="133"/>
        <v>1</v>
      </c>
      <c r="BC44" s="103" t="str">
        <f t="shared" si="134"/>
        <v>90% - 100%</v>
      </c>
      <c r="BD44" s="15" t="s">
        <v>107</v>
      </c>
      <c r="BF44" s="15" t="s">
        <v>469</v>
      </c>
      <c r="BG44" s="15">
        <v>0.0</v>
      </c>
      <c r="BH44" s="15">
        <v>2.0</v>
      </c>
      <c r="BI44" s="90" t="s">
        <v>469</v>
      </c>
      <c r="BJ44" s="15" t="s">
        <v>493</v>
      </c>
      <c r="BK44" s="15" t="s">
        <v>469</v>
      </c>
      <c r="BL44" s="15" t="s">
        <v>469</v>
      </c>
      <c r="BM44" s="15">
        <v>0.0</v>
      </c>
      <c r="BN44" s="15">
        <v>2.0</v>
      </c>
      <c r="BO44" s="15">
        <v>0.0</v>
      </c>
      <c r="BP44" s="15">
        <v>0.0</v>
      </c>
      <c r="BQ44" s="130"/>
      <c r="BR44" s="169">
        <v>23.0</v>
      </c>
      <c r="BS44" s="169">
        <v>0.0</v>
      </c>
      <c r="BT44" s="169">
        <v>0.0</v>
      </c>
      <c r="BU44" s="169">
        <v>42.0</v>
      </c>
      <c r="BV44" s="170" t="s">
        <v>469</v>
      </c>
      <c r="BW44" s="130"/>
      <c r="BX44" s="170">
        <v>23.0</v>
      </c>
      <c r="BY44" s="170">
        <v>0.0</v>
      </c>
      <c r="BZ44" s="170">
        <v>0.0</v>
      </c>
      <c r="CA44" s="174"/>
      <c r="CB44" s="174"/>
      <c r="CC44" s="130"/>
      <c r="CD44" s="174"/>
      <c r="CE44" s="174"/>
      <c r="CF44" s="174"/>
      <c r="CG44" s="174"/>
      <c r="CH44" s="174"/>
      <c r="CI44" s="130"/>
      <c r="CJ44" s="174"/>
      <c r="CK44" s="174"/>
      <c r="CL44" s="174"/>
      <c r="CM44" s="174"/>
      <c r="CN44" s="174"/>
      <c r="CO44" s="108"/>
      <c r="CP44" s="171"/>
      <c r="CQ44" s="171"/>
      <c r="CR44" s="171"/>
      <c r="CS44" s="171"/>
      <c r="CT44" s="171"/>
      <c r="CU44" s="130"/>
      <c r="CV44" s="171"/>
      <c r="CW44" s="171"/>
      <c r="CX44" s="171"/>
      <c r="CY44" s="171"/>
      <c r="CZ44" s="171"/>
      <c r="DA44" s="130"/>
      <c r="DB44" s="171"/>
      <c r="DC44" s="171"/>
      <c r="DD44" s="171"/>
      <c r="DE44" s="171"/>
      <c r="DF44" s="171"/>
      <c r="DG44" s="130"/>
      <c r="DH44" s="171"/>
      <c r="DI44" s="171"/>
      <c r="DJ44" s="171"/>
      <c r="DK44" s="171"/>
      <c r="DL44" s="171"/>
      <c r="DM44" s="130"/>
      <c r="DN44" s="171"/>
      <c r="DO44" s="171"/>
      <c r="DP44" s="171"/>
      <c r="DQ44" s="171"/>
      <c r="DR44" s="171"/>
      <c r="DS44" s="130"/>
      <c r="DT44" s="108"/>
      <c r="DU44" s="108"/>
      <c r="DW44" s="109"/>
      <c r="DX44" s="110">
        <f t="shared" si="13"/>
        <v>23</v>
      </c>
      <c r="DY44" s="111">
        <f t="shared" ref="DY44:DZ44" si="147">sum(BS44,BY44,CE44,CK44,CQ44,CW44,DC44,DI44,DO44)</f>
        <v>0</v>
      </c>
      <c r="DZ44" s="111">
        <f t="shared" si="147"/>
        <v>0</v>
      </c>
      <c r="EA44" s="110">
        <f t="shared" si="15"/>
        <v>42</v>
      </c>
      <c r="EB44" s="99" t="str">
        <f t="shared" si="16"/>
        <v>35 - 54</v>
      </c>
      <c r="EC44" s="112"/>
      <c r="ED44" s="113">
        <f t="shared" si="17"/>
        <v>4.8</v>
      </c>
      <c r="EE44" s="114">
        <f>IF(V44 &lt;&gt; "", 1+((V44-MIN(discount_rates))*(4)/(MAX(discount_rates) - MIN(discount_rates))), "")</f>
        <v>1</v>
      </c>
      <c r="EF44" s="114" t="str">
        <f>IF(Q44="Debt", (1+((S44-MIN(interest_rates))*(4)/(MAX(interest_rates) - MIN(interest_rates)))), "")</f>
        <v/>
      </c>
      <c r="EG44" s="114" t="str">
        <f>IF(OR(Q44="Revenue Share", Q44="Profit Share"), (1+((R44-MIN(return_mutiples))*(4)/(MAX(return_mutiples) - MIN(return_mutiples)))), "")</f>
        <v/>
      </c>
      <c r="EH44" s="115">
        <f t="shared" si="18"/>
        <v>4.8</v>
      </c>
      <c r="EI44" s="116" t="str">
        <f t="shared" si="19"/>
        <v>CAFES</v>
      </c>
      <c r="EJ44" s="117">
        <f t="shared" si="20"/>
        <v>0.1232876712</v>
      </c>
      <c r="EK44" s="116" t="str">
        <f t="shared" si="21"/>
        <v>Growth</v>
      </c>
      <c r="EL44" s="112"/>
      <c r="EM44" s="118">
        <f t="shared" si="22"/>
        <v>2.7</v>
      </c>
      <c r="EN44" s="118">
        <f t="shared" si="23"/>
        <v>1.7</v>
      </c>
      <c r="EO44" s="119">
        <f t="shared" si="24"/>
        <v>4.4</v>
      </c>
      <c r="EP44" s="115">
        <f>1+((EO44-MIN(market_ratings_sums))*(4)/(MAX(market_ratings_sums) - MIN(market_ratings_sums)))</f>
        <v>2.192982456</v>
      </c>
      <c r="EQ44" s="116" t="str">
        <f t="shared" si="25"/>
        <v>No</v>
      </c>
      <c r="ER44" s="112"/>
      <c r="ES44" s="123">
        <f>1+((DX44-MIN(industry_experiences))*(4)/(MAX(industry_experiences) - MIN(industry_experiences)))</f>
        <v>3.19047619</v>
      </c>
      <c r="ET44" s="123">
        <f>1+((DY44-MIN(previous_startups))*(4)/(MAX(previous_startups) - MIN(previous_startups)))</f>
        <v>1</v>
      </c>
      <c r="EU44" s="123">
        <f>1+((DZ44-MIN(exits))*(4)/(MAX(exits) - MIN(exits)))</f>
        <v>1</v>
      </c>
      <c r="EV44" s="119">
        <f t="shared" si="26"/>
        <v>5.19047619</v>
      </c>
      <c r="EW44" s="124">
        <f>1+((EV44-MIN(team_ratings_sums))*(4)/(MAX(team_ratings_sums) - MIN(team_ratings_sums)))</f>
        <v>2.2</v>
      </c>
      <c r="EX44" s="116" t="str">
        <f t="shared" si="27"/>
        <v>35 - 54</v>
      </c>
      <c r="EY44" s="125">
        <f t="shared" si="28"/>
        <v>0.6849315068</v>
      </c>
      <c r="EZ44" s="116">
        <f t="shared" si="29"/>
        <v>2</v>
      </c>
      <c r="FA44" s="125">
        <f t="shared" si="30"/>
        <v>0.4520547945</v>
      </c>
      <c r="FB44" s="116">
        <f t="shared" si="31"/>
        <v>2</v>
      </c>
      <c r="FC44" s="125">
        <f t="shared" si="32"/>
        <v>0.1369863014</v>
      </c>
      <c r="FD44" s="116" t="str">
        <f t="shared" si="33"/>
        <v>No</v>
      </c>
      <c r="FE44" s="125">
        <f t="shared" si="34"/>
        <v>0.7534246575</v>
      </c>
      <c r="FF44" s="116" t="str">
        <f t="shared" ref="FF44:FH44" si="148">BJ44</f>
        <v>Yes</v>
      </c>
      <c r="FG44" s="116" t="str">
        <f t="shared" si="148"/>
        <v>No</v>
      </c>
      <c r="FH44" s="116" t="str">
        <f t="shared" si="148"/>
        <v>No</v>
      </c>
      <c r="FI44" s="112"/>
      <c r="FJ44" s="116" t="str">
        <f t="shared" si="36"/>
        <v>Transactional</v>
      </c>
      <c r="FK44" s="125">
        <f t="shared" si="37"/>
        <v>0.602739726</v>
      </c>
      <c r="FL44" s="116" t="str">
        <f t="shared" si="38"/>
        <v>B2B/B2C</v>
      </c>
      <c r="FM44" s="125">
        <f t="shared" si="39"/>
        <v>0.3287671233</v>
      </c>
      <c r="FN44" s="116" t="str">
        <f t="shared" si="40"/>
        <v>High</v>
      </c>
      <c r="FO44" s="125">
        <f t="shared" si="41"/>
        <v>0.5616438356</v>
      </c>
      <c r="FP44" s="116" t="str">
        <f t="shared" si="42"/>
        <v>Low</v>
      </c>
      <c r="FQ44" s="125">
        <f t="shared" si="43"/>
        <v>0.3561643836</v>
      </c>
      <c r="FR44" s="112"/>
      <c r="FS44" s="123">
        <f t="shared" si="44"/>
        <v>5</v>
      </c>
      <c r="FT44" s="123">
        <f t="shared" si="45"/>
        <v>2.3</v>
      </c>
      <c r="FU44" s="123">
        <f t="shared" si="46"/>
        <v>1</v>
      </c>
      <c r="FV44" s="123">
        <f t="shared" si="47"/>
        <v>5</v>
      </c>
      <c r="FW44" s="119">
        <f t="shared" si="48"/>
        <v>13.3</v>
      </c>
      <c r="FX44" s="115">
        <f>1+((FW44-MIN(performance_ratings_sums))*(4)/(MAX(performance_ratings_sums) - MIN(performance_ratings_sums)))</f>
        <v>3.46728972</v>
      </c>
      <c r="FY44" s="116" t="str">
        <f t="shared" si="49"/>
        <v>Pre-Profit</v>
      </c>
      <c r="FZ44" s="126">
        <f t="shared" si="50"/>
        <v>0.4931506849</v>
      </c>
      <c r="GA44" s="112"/>
      <c r="GB44" s="127">
        <f t="shared" si="51"/>
        <v>1</v>
      </c>
      <c r="GC44" s="116" t="str">
        <f t="shared" si="52"/>
        <v>No</v>
      </c>
      <c r="GD44" s="126">
        <f t="shared" si="53"/>
        <v>0.7671232877</v>
      </c>
      <c r="GE44" s="126" t="str">
        <f t="shared" si="54"/>
        <v>Low</v>
      </c>
      <c r="GF44" s="126">
        <f t="shared" si="55"/>
        <v>0.5479452055</v>
      </c>
      <c r="GG44" s="126" t="str">
        <f t="shared" si="56"/>
        <v>High</v>
      </c>
      <c r="GH44" s="126">
        <f t="shared" si="57"/>
        <v>0.8082191781</v>
      </c>
      <c r="GI44" s="112"/>
      <c r="GJ44" s="116"/>
      <c r="GK44" s="119">
        <f t="shared" si="58"/>
        <v>13.66027218</v>
      </c>
      <c r="GL44" s="128">
        <f>1+((GK44-MIN(ratings_sums))*(4)/(MAX(ratings_sums) - MIN(ratings_sums)))</f>
        <v>2.984113671</v>
      </c>
    </row>
    <row r="45" ht="15.75" customHeight="1">
      <c r="A45" s="161" t="s">
        <v>702</v>
      </c>
      <c r="B45" s="15">
        <v>1727652.0</v>
      </c>
      <c r="C45" s="162" t="s">
        <v>740</v>
      </c>
      <c r="D45" s="163">
        <v>43712.61597222222</v>
      </c>
      <c r="E45" s="15" t="s">
        <v>363</v>
      </c>
      <c r="F45" s="164" t="s">
        <v>741</v>
      </c>
      <c r="G45" s="164" t="s">
        <v>742</v>
      </c>
      <c r="H45" s="165">
        <v>43222.0</v>
      </c>
      <c r="I45" s="162" t="s">
        <v>743</v>
      </c>
      <c r="J45" s="162" t="s">
        <v>744</v>
      </c>
      <c r="K45" s="15" t="s">
        <v>432</v>
      </c>
      <c r="L45" s="15" t="s">
        <v>154</v>
      </c>
      <c r="M45" s="15" t="s">
        <v>31</v>
      </c>
      <c r="N45" s="15" t="s">
        <v>32</v>
      </c>
      <c r="O45" s="15" t="s">
        <v>35</v>
      </c>
      <c r="Q45" s="15" t="s">
        <v>34</v>
      </c>
      <c r="R45" s="166"/>
      <c r="S45" s="120"/>
      <c r="T45" s="69"/>
      <c r="U45" s="69">
        <v>1500000.0</v>
      </c>
      <c r="V45" s="132">
        <v>0.0</v>
      </c>
      <c r="W45" s="96">
        <f t="shared" si="125"/>
        <v>1500000</v>
      </c>
      <c r="X45" s="98">
        <f t="shared" si="126"/>
        <v>1500000</v>
      </c>
      <c r="Y45" s="99" t="str">
        <f t="shared" si="127"/>
        <v>$1M - $2M</v>
      </c>
      <c r="Z45" s="15" t="s">
        <v>86</v>
      </c>
      <c r="AA45" s="15" t="s">
        <v>123</v>
      </c>
      <c r="AB45" s="15" t="s">
        <v>88</v>
      </c>
      <c r="AC45" s="15" t="s">
        <v>493</v>
      </c>
      <c r="AD45" s="15" t="s">
        <v>39</v>
      </c>
      <c r="AE45" s="15" t="s">
        <v>89</v>
      </c>
      <c r="AF45" s="15" t="s">
        <v>469</v>
      </c>
      <c r="AG45" s="69">
        <v>4.30963753E9</v>
      </c>
      <c r="AH45" s="97" t="str">
        <f t="shared" si="128"/>
        <v>$1B-$5B</v>
      </c>
      <c r="AI45" s="69">
        <v>4.30963753E9</v>
      </c>
      <c r="AJ45" s="97" t="str">
        <f t="shared" si="129"/>
        <v>$1B-$5B</v>
      </c>
      <c r="AK45" s="167">
        <v>0.152</v>
      </c>
      <c r="AL45" s="88" t="str">
        <f t="shared" si="130"/>
        <v>10%-20%</v>
      </c>
      <c r="AM45" s="15">
        <v>100.0</v>
      </c>
      <c r="AN45" s="15" t="s">
        <v>89</v>
      </c>
      <c r="AO45" s="15" t="s">
        <v>39</v>
      </c>
      <c r="AP45" s="15" t="s">
        <v>40</v>
      </c>
      <c r="AQ45" s="168" t="s">
        <v>89</v>
      </c>
      <c r="AR45" s="168" t="s">
        <v>39</v>
      </c>
      <c r="AS45" s="15" t="s">
        <v>493</v>
      </c>
      <c r="AT45" s="15" t="s">
        <v>469</v>
      </c>
      <c r="AU45" s="15" t="s">
        <v>469</v>
      </c>
      <c r="AV45" s="15" t="s">
        <v>469</v>
      </c>
      <c r="AW45" s="69">
        <v>0.0</v>
      </c>
      <c r="AX45" s="96" t="str">
        <f t="shared" si="131"/>
        <v>&lt; $10K</v>
      </c>
      <c r="AY45" s="69">
        <v>7.0</v>
      </c>
      <c r="AZ45" s="69">
        <v>0.0</v>
      </c>
      <c r="BA45" s="103" t="str">
        <f t="shared" si="132"/>
        <v>&lt; $10K</v>
      </c>
      <c r="BB45" s="103">
        <f t="shared" si="133"/>
        <v>1</v>
      </c>
      <c r="BC45" s="103" t="str">
        <f t="shared" si="134"/>
        <v>90% - 100%</v>
      </c>
      <c r="BD45" s="15" t="s">
        <v>41</v>
      </c>
      <c r="BF45" s="15" t="s">
        <v>469</v>
      </c>
      <c r="BG45" s="15">
        <v>0.0</v>
      </c>
      <c r="BH45" s="15">
        <v>4.0</v>
      </c>
      <c r="BI45" s="15" t="s">
        <v>493</v>
      </c>
      <c r="BJ45" s="15" t="s">
        <v>493</v>
      </c>
      <c r="BK45" s="15" t="s">
        <v>469</v>
      </c>
      <c r="BL45" s="15" t="s">
        <v>469</v>
      </c>
      <c r="BM45" s="15">
        <v>8.0</v>
      </c>
      <c r="BN45" s="15">
        <v>4.0</v>
      </c>
      <c r="BO45" s="15">
        <v>0.0</v>
      </c>
      <c r="BP45" s="15">
        <v>0.0</v>
      </c>
      <c r="BQ45" s="130"/>
      <c r="BR45" s="170">
        <v>20.0</v>
      </c>
      <c r="BS45" s="170">
        <v>0.0</v>
      </c>
      <c r="BT45" s="170">
        <v>0.0</v>
      </c>
      <c r="BU45" s="170">
        <v>62.0</v>
      </c>
      <c r="BV45" s="175" t="s">
        <v>469</v>
      </c>
      <c r="BW45" s="130"/>
      <c r="BX45" s="170">
        <v>30.0</v>
      </c>
      <c r="BY45" s="170">
        <v>0.0</v>
      </c>
      <c r="BZ45" s="170">
        <v>0.0</v>
      </c>
      <c r="CA45" s="170">
        <v>65.0</v>
      </c>
      <c r="CB45" s="170" t="s">
        <v>493</v>
      </c>
      <c r="CC45" s="130"/>
      <c r="CD45" s="170">
        <v>12.0</v>
      </c>
      <c r="CE45" s="170">
        <v>0.0</v>
      </c>
      <c r="CF45" s="170">
        <v>0.0</v>
      </c>
      <c r="CG45" s="170">
        <v>63.0</v>
      </c>
      <c r="CH45" s="170" t="s">
        <v>469</v>
      </c>
      <c r="CI45" s="130"/>
      <c r="CJ45" s="170">
        <v>1.0</v>
      </c>
      <c r="CK45" s="170">
        <v>1.0</v>
      </c>
      <c r="CL45" s="170">
        <v>1.0</v>
      </c>
      <c r="CM45" s="170">
        <v>49.0</v>
      </c>
      <c r="CN45" s="170" t="s">
        <v>493</v>
      </c>
      <c r="CO45" s="108"/>
      <c r="CP45" s="174"/>
      <c r="CQ45" s="174"/>
      <c r="CR45" s="174"/>
      <c r="CS45" s="174"/>
      <c r="CT45" s="174"/>
      <c r="CU45" s="130"/>
      <c r="CV45" s="174"/>
      <c r="CW45" s="174"/>
      <c r="CX45" s="174"/>
      <c r="CY45" s="174"/>
      <c r="CZ45" s="174"/>
      <c r="DA45" s="130"/>
      <c r="DB45" s="174"/>
      <c r="DC45" s="174"/>
      <c r="DD45" s="174"/>
      <c r="DE45" s="174"/>
      <c r="DF45" s="174"/>
      <c r="DG45" s="130"/>
      <c r="DH45" s="174"/>
      <c r="DI45" s="174"/>
      <c r="DJ45" s="174"/>
      <c r="DK45" s="174"/>
      <c r="DL45" s="174"/>
      <c r="DM45" s="130"/>
      <c r="DN45" s="174"/>
      <c r="DO45" s="174"/>
      <c r="DP45" s="174"/>
      <c r="DQ45" s="174"/>
      <c r="DR45" s="174"/>
      <c r="DS45" s="130"/>
      <c r="DT45" s="108"/>
      <c r="DU45" s="108"/>
      <c r="DW45" s="109"/>
      <c r="DX45" s="110">
        <f t="shared" si="13"/>
        <v>15.75</v>
      </c>
      <c r="DY45" s="111">
        <f t="shared" ref="DY45:DZ45" si="149">sum(BS45,BY45,CE45,CK45,CQ45,CW45,DC45,DI45,DO45)</f>
        <v>1</v>
      </c>
      <c r="DZ45" s="111">
        <f t="shared" si="149"/>
        <v>1</v>
      </c>
      <c r="EA45" s="110">
        <f t="shared" si="15"/>
        <v>59.75</v>
      </c>
      <c r="EB45" s="99" t="str">
        <f t="shared" si="16"/>
        <v>55+</v>
      </c>
      <c r="EC45" s="112"/>
      <c r="ED45" s="113">
        <f t="shared" si="17"/>
        <v>4.8</v>
      </c>
      <c r="EE45" s="114">
        <f>IF(V45 &lt;&gt; "", 1+((V45-MIN(discount_rates))*(4)/(MAX(discount_rates) - MIN(discount_rates))), "")</f>
        <v>1</v>
      </c>
      <c r="EF45" s="114" t="str">
        <f>IF(Q45="Debt", (1+((S45-MIN(interest_rates))*(4)/(MAX(interest_rates) - MIN(interest_rates)))), "")</f>
        <v/>
      </c>
      <c r="EG45" s="114" t="str">
        <f>IF(OR(Q45="Revenue Share", Q45="Profit Share"), (1+((R45-MIN(return_mutiples))*(4)/(MAX(return_mutiples) - MIN(return_mutiples)))), "")</f>
        <v/>
      </c>
      <c r="EH45" s="115">
        <f t="shared" si="18"/>
        <v>4.8</v>
      </c>
      <c r="EI45" s="116" t="str">
        <f t="shared" si="19"/>
        <v>CAFES</v>
      </c>
      <c r="EJ45" s="117">
        <f t="shared" si="20"/>
        <v>0.1232876712</v>
      </c>
      <c r="EK45" s="116" t="str">
        <f t="shared" si="21"/>
        <v>Early</v>
      </c>
      <c r="EL45" s="112"/>
      <c r="EM45" s="118">
        <f t="shared" si="22"/>
        <v>2.7</v>
      </c>
      <c r="EN45" s="118">
        <f t="shared" si="23"/>
        <v>2.3</v>
      </c>
      <c r="EO45" s="119">
        <f t="shared" si="24"/>
        <v>5</v>
      </c>
      <c r="EP45" s="115">
        <f>1+((EO45-MIN(market_ratings_sums))*(4)/(MAX(market_ratings_sums) - MIN(market_ratings_sums)))</f>
        <v>2.614035088</v>
      </c>
      <c r="EQ45" s="116" t="str">
        <f t="shared" si="25"/>
        <v>Yes</v>
      </c>
      <c r="ER45" s="112"/>
      <c r="ES45" s="123">
        <f>1+((DX45-MIN(industry_experiences))*(4)/(MAX(industry_experiences) - MIN(industry_experiences)))</f>
        <v>2.5</v>
      </c>
      <c r="ET45" s="123">
        <f>1+((DY45-MIN(previous_startups))*(4)/(MAX(previous_startups) - MIN(previous_startups)))</f>
        <v>1.444444444</v>
      </c>
      <c r="EU45" s="123">
        <f>1+((DZ45-MIN(exits))*(4)/(MAX(exits) - MIN(exits)))</f>
        <v>2</v>
      </c>
      <c r="EV45" s="119">
        <f t="shared" si="26"/>
        <v>5.944444444</v>
      </c>
      <c r="EW45" s="124">
        <f>1+((EV45-MIN(team_ratings_sums))*(4)/(MAX(team_ratings_sums) - MIN(team_ratings_sums)))</f>
        <v>2.613043478</v>
      </c>
      <c r="EX45" s="116" t="str">
        <f t="shared" si="27"/>
        <v>55+</v>
      </c>
      <c r="EY45" s="125">
        <f t="shared" si="28"/>
        <v>0.1095890411</v>
      </c>
      <c r="EZ45" s="116">
        <f t="shared" si="29"/>
        <v>4</v>
      </c>
      <c r="FA45" s="125">
        <f t="shared" si="30"/>
        <v>0.05479452055</v>
      </c>
      <c r="FB45" s="116">
        <f t="shared" si="31"/>
        <v>4</v>
      </c>
      <c r="FC45" s="125">
        <f t="shared" si="32"/>
        <v>0.1369863014</v>
      </c>
      <c r="FD45" s="116" t="str">
        <f t="shared" si="33"/>
        <v>Yes</v>
      </c>
      <c r="FE45" s="125">
        <f t="shared" si="34"/>
        <v>0.2465753425</v>
      </c>
      <c r="FF45" s="116" t="str">
        <f t="shared" ref="FF45:FH45" si="150">BJ45</f>
        <v>Yes</v>
      </c>
      <c r="FG45" s="116" t="str">
        <f t="shared" si="150"/>
        <v>No</v>
      </c>
      <c r="FH45" s="116" t="str">
        <f t="shared" si="150"/>
        <v>No</v>
      </c>
      <c r="FI45" s="112"/>
      <c r="FJ45" s="116" t="str">
        <f t="shared" si="36"/>
        <v>Recurring</v>
      </c>
      <c r="FK45" s="125">
        <f t="shared" si="37"/>
        <v>0.397260274</v>
      </c>
      <c r="FL45" s="116" t="str">
        <f t="shared" si="38"/>
        <v>B2B/B2C</v>
      </c>
      <c r="FM45" s="125">
        <f t="shared" si="39"/>
        <v>0.3287671233</v>
      </c>
      <c r="FN45" s="116" t="str">
        <f t="shared" si="40"/>
        <v>High</v>
      </c>
      <c r="FO45" s="125">
        <f t="shared" si="41"/>
        <v>0.5616438356</v>
      </c>
      <c r="FP45" s="116" t="str">
        <f t="shared" si="42"/>
        <v>Low</v>
      </c>
      <c r="FQ45" s="125">
        <f t="shared" si="43"/>
        <v>0.3561643836</v>
      </c>
      <c r="FR45" s="112"/>
      <c r="FS45" s="123">
        <f t="shared" si="44"/>
        <v>1</v>
      </c>
      <c r="FT45" s="123">
        <f t="shared" si="45"/>
        <v>1</v>
      </c>
      <c r="FU45" s="123">
        <f t="shared" si="46"/>
        <v>1</v>
      </c>
      <c r="FV45" s="123">
        <f t="shared" si="47"/>
        <v>5</v>
      </c>
      <c r="FW45" s="119">
        <f t="shared" si="48"/>
        <v>8</v>
      </c>
      <c r="FX45" s="115">
        <f>1+((FW45-MIN(performance_ratings_sums))*(4)/(MAX(performance_ratings_sums) - MIN(performance_ratings_sums)))</f>
        <v>1.485981308</v>
      </c>
      <c r="FY45" s="116" t="str">
        <f t="shared" si="49"/>
        <v>Pre-Product</v>
      </c>
      <c r="FZ45" s="126">
        <f t="shared" si="50"/>
        <v>0.2328767123</v>
      </c>
      <c r="GA45" s="112"/>
      <c r="GB45" s="127">
        <f t="shared" si="51"/>
        <v>3</v>
      </c>
      <c r="GC45" s="116" t="str">
        <f t="shared" si="52"/>
        <v>No</v>
      </c>
      <c r="GD45" s="126">
        <f t="shared" si="53"/>
        <v>0.7671232877</v>
      </c>
      <c r="GE45" s="126" t="str">
        <f t="shared" si="54"/>
        <v>Low</v>
      </c>
      <c r="GF45" s="126">
        <f t="shared" si="55"/>
        <v>0.5479452055</v>
      </c>
      <c r="GG45" s="126" t="str">
        <f t="shared" si="56"/>
        <v>High</v>
      </c>
      <c r="GH45" s="126">
        <f t="shared" si="57"/>
        <v>0.8082191781</v>
      </c>
      <c r="GI45" s="112"/>
      <c r="GJ45" s="116"/>
      <c r="GK45" s="119">
        <f t="shared" si="58"/>
        <v>14.51305987</v>
      </c>
      <c r="GL45" s="128">
        <f>1+((GK45-MIN(ratings_sums))*(4)/(MAX(ratings_sums) - MIN(ratings_sums)))</f>
        <v>3.24578302</v>
      </c>
    </row>
    <row r="46" ht="15.75" customHeight="1">
      <c r="A46" s="176" t="s">
        <v>702</v>
      </c>
      <c r="B46" s="169">
        <v>1738707.0</v>
      </c>
      <c r="C46" s="177" t="s">
        <v>745</v>
      </c>
      <c r="D46" s="178">
        <v>43712.61875</v>
      </c>
      <c r="E46" s="170" t="s">
        <v>363</v>
      </c>
      <c r="F46" s="150" t="s">
        <v>746</v>
      </c>
      <c r="G46" s="150" t="s">
        <v>747</v>
      </c>
      <c r="H46" s="179">
        <v>43220.0</v>
      </c>
      <c r="I46" s="180" t="s">
        <v>748</v>
      </c>
      <c r="J46" s="180" t="s">
        <v>749</v>
      </c>
      <c r="K46" s="170" t="s">
        <v>448</v>
      </c>
      <c r="L46" s="170" t="s">
        <v>390</v>
      </c>
      <c r="M46" s="170" t="s">
        <v>31</v>
      </c>
      <c r="N46" s="170" t="s">
        <v>82</v>
      </c>
      <c r="O46" s="170" t="s">
        <v>35</v>
      </c>
      <c r="P46" s="171"/>
      <c r="Q46" s="170" t="s">
        <v>34</v>
      </c>
      <c r="R46" s="181"/>
      <c r="S46" s="182"/>
      <c r="T46" s="183"/>
      <c r="U46" s="184">
        <v>8750000.0</v>
      </c>
      <c r="V46" s="185">
        <v>0.0</v>
      </c>
      <c r="W46" s="96">
        <f t="shared" si="125"/>
        <v>8750000</v>
      </c>
      <c r="X46" s="98">
        <f t="shared" si="126"/>
        <v>8750000</v>
      </c>
      <c r="Y46" s="99" t="str">
        <f t="shared" si="127"/>
        <v>$8M - $10M</v>
      </c>
      <c r="Z46" s="170" t="s">
        <v>36</v>
      </c>
      <c r="AA46" s="170" t="s">
        <v>123</v>
      </c>
      <c r="AB46" s="170" t="s">
        <v>38</v>
      </c>
      <c r="AC46" s="170" t="s">
        <v>469</v>
      </c>
      <c r="AD46" s="170" t="s">
        <v>89</v>
      </c>
      <c r="AE46" s="170" t="s">
        <v>39</v>
      </c>
      <c r="AF46" s="170" t="s">
        <v>469</v>
      </c>
      <c r="AG46" s="184">
        <v>1.142E11</v>
      </c>
      <c r="AH46" s="97" t="str">
        <f t="shared" si="128"/>
        <v>$100B-$250B</v>
      </c>
      <c r="AI46" s="184">
        <v>2.76E10</v>
      </c>
      <c r="AJ46" s="97" t="str">
        <f t="shared" si="129"/>
        <v>$25B-$50B</v>
      </c>
      <c r="AK46" s="186">
        <v>0.07</v>
      </c>
      <c r="AL46" s="88" t="str">
        <f t="shared" si="130"/>
        <v>0%-10%</v>
      </c>
      <c r="AM46" s="169">
        <v>100.0</v>
      </c>
      <c r="AN46" s="170" t="s">
        <v>89</v>
      </c>
      <c r="AO46" s="170" t="s">
        <v>89</v>
      </c>
      <c r="AP46" s="170" t="s">
        <v>40</v>
      </c>
      <c r="AQ46" s="100" t="s">
        <v>39</v>
      </c>
      <c r="AR46" s="100" t="s">
        <v>39</v>
      </c>
      <c r="AS46" s="170" t="s">
        <v>469</v>
      </c>
      <c r="AT46" s="170" t="s">
        <v>469</v>
      </c>
      <c r="AU46" s="170" t="s">
        <v>493</v>
      </c>
      <c r="AV46" s="170" t="s">
        <v>469</v>
      </c>
      <c r="AW46" s="184">
        <v>0.0</v>
      </c>
      <c r="AX46" s="96" t="str">
        <f t="shared" si="131"/>
        <v>&lt; $10K</v>
      </c>
      <c r="AY46" s="184">
        <v>0.0</v>
      </c>
      <c r="AZ46" s="21">
        <v>0.0</v>
      </c>
      <c r="BA46" s="103" t="str">
        <f t="shared" si="132"/>
        <v>&lt; $10K</v>
      </c>
      <c r="BB46" s="103">
        <f t="shared" si="133"/>
        <v>1</v>
      </c>
      <c r="BC46" s="103" t="str">
        <f t="shared" si="134"/>
        <v>90% - 100%</v>
      </c>
      <c r="BD46" s="170" t="s">
        <v>91</v>
      </c>
      <c r="BE46" s="171"/>
      <c r="BF46" s="170" t="s">
        <v>493</v>
      </c>
      <c r="BG46" s="170">
        <v>7.0</v>
      </c>
      <c r="BH46" s="169">
        <v>1.0</v>
      </c>
      <c r="BI46" s="90" t="s">
        <v>469</v>
      </c>
      <c r="BJ46" s="170" t="s">
        <v>469</v>
      </c>
      <c r="BK46" s="170" t="s">
        <v>469</v>
      </c>
      <c r="BL46" s="170" t="s">
        <v>469</v>
      </c>
      <c r="BM46" s="169">
        <v>0.0</v>
      </c>
      <c r="BN46" s="169">
        <v>2.0</v>
      </c>
      <c r="BO46" s="169">
        <v>0.0</v>
      </c>
      <c r="BP46" s="169">
        <v>0.0</v>
      </c>
      <c r="BQ46" s="130"/>
      <c r="BR46" s="169">
        <v>24.0</v>
      </c>
      <c r="BS46" s="169">
        <v>0.0</v>
      </c>
      <c r="BT46" s="169">
        <v>0.0</v>
      </c>
      <c r="BU46" s="169">
        <v>50.0</v>
      </c>
      <c r="BV46" s="170" t="s">
        <v>469</v>
      </c>
      <c r="BW46" s="130"/>
      <c r="BX46" s="171"/>
      <c r="BY46" s="171"/>
      <c r="BZ46" s="171"/>
      <c r="CA46" s="171"/>
      <c r="CB46" s="171"/>
      <c r="CC46" s="130"/>
      <c r="CD46" s="171"/>
      <c r="CE46" s="171"/>
      <c r="CF46" s="171"/>
      <c r="CG46" s="171"/>
      <c r="CH46" s="171"/>
      <c r="CI46" s="130"/>
      <c r="CJ46" s="171"/>
      <c r="CK46" s="171"/>
      <c r="CL46" s="171"/>
      <c r="CM46" s="171"/>
      <c r="CN46" s="171"/>
      <c r="CO46" s="108"/>
      <c r="CP46" s="171"/>
      <c r="CQ46" s="171"/>
      <c r="CR46" s="171"/>
      <c r="CS46" s="171"/>
      <c r="CT46" s="171"/>
      <c r="CU46" s="130"/>
      <c r="CV46" s="171"/>
      <c r="CW46" s="171"/>
      <c r="CX46" s="171"/>
      <c r="CY46" s="171"/>
      <c r="CZ46" s="171"/>
      <c r="DA46" s="130"/>
      <c r="DB46" s="171"/>
      <c r="DC46" s="171"/>
      <c r="DD46" s="171"/>
      <c r="DE46" s="171"/>
      <c r="DF46" s="171"/>
      <c r="DG46" s="130"/>
      <c r="DH46" s="171"/>
      <c r="DI46" s="171"/>
      <c r="DJ46" s="171"/>
      <c r="DK46" s="171"/>
      <c r="DL46" s="171"/>
      <c r="DM46" s="130"/>
      <c r="DN46" s="171"/>
      <c r="DO46" s="171"/>
      <c r="DP46" s="171"/>
      <c r="DQ46" s="171"/>
      <c r="DR46" s="171"/>
      <c r="DS46" s="130"/>
      <c r="DT46" s="108"/>
      <c r="DU46" s="108"/>
      <c r="DW46" s="109"/>
      <c r="DX46" s="110">
        <f t="shared" si="13"/>
        <v>24</v>
      </c>
      <c r="DY46" s="111">
        <f t="shared" ref="DY46:DZ46" si="151">sum(BS46,BY46,CE46,CK46,CQ46,CW46,DC46,DI46,DO46)</f>
        <v>0</v>
      </c>
      <c r="DZ46" s="111">
        <f t="shared" si="151"/>
        <v>0</v>
      </c>
      <c r="EA46" s="110">
        <f t="shared" si="15"/>
        <v>50</v>
      </c>
      <c r="EB46" s="99" t="str">
        <f t="shared" si="16"/>
        <v>35 - 54</v>
      </c>
      <c r="EC46" s="112"/>
      <c r="ED46" s="113">
        <f t="shared" si="17"/>
        <v>4</v>
      </c>
      <c r="EE46" s="114">
        <f>IF(V46 &lt;&gt; "", 1+((V46-MIN(discount_rates))*(4)/(MAX(discount_rates) - MIN(discount_rates))), "")</f>
        <v>1</v>
      </c>
      <c r="EF46" s="114" t="str">
        <f>IF(Q46="Debt", (1+((S46-MIN(interest_rates))*(4)/(MAX(interest_rates) - MIN(interest_rates)))), "")</f>
        <v/>
      </c>
      <c r="EG46" s="114" t="str">
        <f>IF(OR(Q46="Revenue Share", Q46="Profit Share"), (1+((R46-MIN(return_mutiples))*(4)/(MAX(return_mutiples) - MIN(return_mutiples)))), "")</f>
        <v/>
      </c>
      <c r="EH46" s="115">
        <f t="shared" si="18"/>
        <v>4</v>
      </c>
      <c r="EI46" s="116" t="str">
        <f t="shared" si="19"/>
        <v>CAFES</v>
      </c>
      <c r="EJ46" s="117">
        <f t="shared" si="20"/>
        <v>0.1232876712</v>
      </c>
      <c r="EK46" s="116" t="str">
        <f t="shared" si="21"/>
        <v>Early</v>
      </c>
      <c r="EL46" s="112"/>
      <c r="EM46" s="118">
        <f t="shared" si="22"/>
        <v>3.6</v>
      </c>
      <c r="EN46" s="118">
        <f t="shared" si="23"/>
        <v>1.7</v>
      </c>
      <c r="EO46" s="119">
        <f t="shared" si="24"/>
        <v>5.3</v>
      </c>
      <c r="EP46" s="115">
        <f>1+((EO46-MIN(market_ratings_sums))*(4)/(MAX(market_ratings_sums) - MIN(market_ratings_sums)))</f>
        <v>2.824561404</v>
      </c>
      <c r="EQ46" s="116" t="str">
        <f t="shared" si="25"/>
        <v>No</v>
      </c>
      <c r="ER46" s="112"/>
      <c r="ES46" s="123">
        <f>1+((DX46-MIN(industry_experiences))*(4)/(MAX(industry_experiences) - MIN(industry_experiences)))</f>
        <v>3.285714286</v>
      </c>
      <c r="ET46" s="123">
        <f>1+((DY46-MIN(previous_startups))*(4)/(MAX(previous_startups) - MIN(previous_startups)))</f>
        <v>1</v>
      </c>
      <c r="EU46" s="123">
        <f>1+((DZ46-MIN(exits))*(4)/(MAX(exits) - MIN(exits)))</f>
        <v>1</v>
      </c>
      <c r="EV46" s="119">
        <f t="shared" si="26"/>
        <v>5.285714286</v>
      </c>
      <c r="EW46" s="124">
        <f>1+((EV46-MIN(team_ratings_sums))*(4)/(MAX(team_ratings_sums) - MIN(team_ratings_sums)))</f>
        <v>2.252173913</v>
      </c>
      <c r="EX46" s="116" t="str">
        <f t="shared" si="27"/>
        <v>35 - 54</v>
      </c>
      <c r="EY46" s="125">
        <f t="shared" si="28"/>
        <v>0.6849315068</v>
      </c>
      <c r="EZ46" s="116">
        <f t="shared" si="29"/>
        <v>1</v>
      </c>
      <c r="FA46" s="125">
        <f t="shared" si="30"/>
        <v>0.4383561644</v>
      </c>
      <c r="FB46" s="116">
        <f t="shared" si="31"/>
        <v>2</v>
      </c>
      <c r="FC46" s="125">
        <f t="shared" si="32"/>
        <v>0.1369863014</v>
      </c>
      <c r="FD46" s="116" t="str">
        <f t="shared" si="33"/>
        <v>No</v>
      </c>
      <c r="FE46" s="125">
        <f t="shared" si="34"/>
        <v>0.7534246575</v>
      </c>
      <c r="FF46" s="116" t="str">
        <f t="shared" ref="FF46:FH46" si="152">BJ46</f>
        <v>No</v>
      </c>
      <c r="FG46" s="116" t="str">
        <f t="shared" si="152"/>
        <v>No</v>
      </c>
      <c r="FH46" s="116" t="str">
        <f t="shared" si="152"/>
        <v>No</v>
      </c>
      <c r="FI46" s="112"/>
      <c r="FJ46" s="116" t="str">
        <f t="shared" si="36"/>
        <v>Transactional</v>
      </c>
      <c r="FK46" s="125">
        <f t="shared" si="37"/>
        <v>0.602739726</v>
      </c>
      <c r="FL46" s="116" t="str">
        <f t="shared" si="38"/>
        <v>B2B/B2C</v>
      </c>
      <c r="FM46" s="125">
        <f t="shared" si="39"/>
        <v>0.3287671233</v>
      </c>
      <c r="FN46" s="116" t="str">
        <f t="shared" si="40"/>
        <v>Low</v>
      </c>
      <c r="FO46" s="125">
        <f t="shared" si="41"/>
        <v>0.4383561644</v>
      </c>
      <c r="FP46" s="116" t="str">
        <f t="shared" si="42"/>
        <v>High</v>
      </c>
      <c r="FQ46" s="125">
        <f t="shared" si="43"/>
        <v>0.6438356164</v>
      </c>
      <c r="FR46" s="112"/>
      <c r="FS46" s="123">
        <f t="shared" si="44"/>
        <v>3</v>
      </c>
      <c r="FT46" s="123">
        <f t="shared" si="45"/>
        <v>1</v>
      </c>
      <c r="FU46" s="123">
        <f t="shared" si="46"/>
        <v>1</v>
      </c>
      <c r="FV46" s="123">
        <f t="shared" si="47"/>
        <v>5</v>
      </c>
      <c r="FW46" s="119">
        <f t="shared" si="48"/>
        <v>10</v>
      </c>
      <c r="FX46" s="115">
        <f>1+((FW46-MIN(performance_ratings_sums))*(4)/(MAX(performance_ratings_sums) - MIN(performance_ratings_sums)))</f>
        <v>2.23364486</v>
      </c>
      <c r="FY46" s="116" t="str">
        <f t="shared" si="49"/>
        <v>Pre-Revenue</v>
      </c>
      <c r="FZ46" s="126">
        <f t="shared" si="50"/>
        <v>0.2054794521</v>
      </c>
      <c r="GA46" s="112"/>
      <c r="GB46" s="127">
        <f t="shared" si="51"/>
        <v>1</v>
      </c>
      <c r="GC46" s="116" t="str">
        <f t="shared" si="52"/>
        <v>No</v>
      </c>
      <c r="GD46" s="126">
        <f t="shared" si="53"/>
        <v>0.7671232877</v>
      </c>
      <c r="GE46" s="126" t="str">
        <f t="shared" si="54"/>
        <v>High</v>
      </c>
      <c r="GF46" s="126">
        <f t="shared" si="55"/>
        <v>0.4520547945</v>
      </c>
      <c r="GG46" s="126" t="str">
        <f t="shared" si="56"/>
        <v>High</v>
      </c>
      <c r="GH46" s="126">
        <f t="shared" si="57"/>
        <v>0.8082191781</v>
      </c>
      <c r="GI46" s="112"/>
      <c r="GJ46" s="116"/>
      <c r="GK46" s="119">
        <f t="shared" si="58"/>
        <v>12.31038018</v>
      </c>
      <c r="GL46" s="128">
        <f>1+((GK46-MIN(ratings_sums))*(4)/(MAX(ratings_sums) - MIN(ratings_sums)))</f>
        <v>2.569912853</v>
      </c>
    </row>
    <row r="47" ht="15.75" customHeight="1">
      <c r="A47" s="176" t="s">
        <v>702</v>
      </c>
      <c r="B47" s="169">
        <v>1783015.0</v>
      </c>
      <c r="C47" s="177" t="s">
        <v>750</v>
      </c>
      <c r="D47" s="178">
        <v>43713.41805555556</v>
      </c>
      <c r="E47" s="170" t="s">
        <v>369</v>
      </c>
      <c r="F47" s="150" t="s">
        <v>751</v>
      </c>
      <c r="G47" s="150" t="s">
        <v>752</v>
      </c>
      <c r="H47" s="179">
        <v>43712.0</v>
      </c>
      <c r="I47" s="180" t="s">
        <v>753</v>
      </c>
      <c r="J47" s="180" t="s">
        <v>750</v>
      </c>
      <c r="K47" s="170" t="s">
        <v>464</v>
      </c>
      <c r="L47" s="170" t="s">
        <v>395</v>
      </c>
      <c r="M47" s="170" t="s">
        <v>31</v>
      </c>
      <c r="N47" s="170" t="s">
        <v>82</v>
      </c>
      <c r="O47" s="170" t="s">
        <v>35</v>
      </c>
      <c r="P47" s="171"/>
      <c r="Q47" s="170" t="s">
        <v>34</v>
      </c>
      <c r="R47" s="181"/>
      <c r="S47" s="182"/>
      <c r="T47" s="183"/>
      <c r="U47" s="187">
        <v>7000000.0</v>
      </c>
      <c r="V47" s="185">
        <v>0.2</v>
      </c>
      <c r="W47" s="96">
        <f t="shared" si="125"/>
        <v>5600000</v>
      </c>
      <c r="X47" s="98">
        <f t="shared" si="126"/>
        <v>5600000</v>
      </c>
      <c r="Y47" s="99" t="str">
        <f t="shared" si="127"/>
        <v>$4M - $6M</v>
      </c>
      <c r="Z47" s="170" t="s">
        <v>86</v>
      </c>
      <c r="AA47" s="170" t="s">
        <v>37</v>
      </c>
      <c r="AB47" s="170" t="s">
        <v>88</v>
      </c>
      <c r="AC47" s="170" t="s">
        <v>493</v>
      </c>
      <c r="AD47" s="170" t="s">
        <v>39</v>
      </c>
      <c r="AE47" s="170" t="s">
        <v>39</v>
      </c>
      <c r="AF47" s="170" t="s">
        <v>493</v>
      </c>
      <c r="AG47" s="184">
        <v>1.786829694E9</v>
      </c>
      <c r="AH47" s="97" t="str">
        <f t="shared" si="128"/>
        <v>$1B-$5B</v>
      </c>
      <c r="AI47" s="184">
        <v>1.786829694E9</v>
      </c>
      <c r="AJ47" s="97" t="str">
        <f t="shared" si="129"/>
        <v>$1B-$5B</v>
      </c>
      <c r="AK47" s="186">
        <v>0.234</v>
      </c>
      <c r="AL47" s="88" t="str">
        <f t="shared" si="130"/>
        <v>20%-30%</v>
      </c>
      <c r="AM47" s="169">
        <v>15.0</v>
      </c>
      <c r="AN47" s="170" t="s">
        <v>89</v>
      </c>
      <c r="AO47" s="170" t="s">
        <v>89</v>
      </c>
      <c r="AP47" s="170" t="s">
        <v>40</v>
      </c>
      <c r="AQ47" s="100" t="s">
        <v>39</v>
      </c>
      <c r="AR47" s="100" t="s">
        <v>89</v>
      </c>
      <c r="AS47" s="170" t="s">
        <v>469</v>
      </c>
      <c r="AT47" s="170" t="s">
        <v>469</v>
      </c>
      <c r="AU47" s="170" t="s">
        <v>493</v>
      </c>
      <c r="AV47" s="170" t="s">
        <v>493</v>
      </c>
      <c r="AW47" s="184">
        <v>0.0</v>
      </c>
      <c r="AX47" s="96" t="str">
        <f t="shared" si="131"/>
        <v>&lt; $10K</v>
      </c>
      <c r="AY47" s="184">
        <v>0.0</v>
      </c>
      <c r="AZ47" s="21">
        <v>0.0</v>
      </c>
      <c r="BA47" s="103" t="str">
        <f t="shared" si="132"/>
        <v>&lt; $10K</v>
      </c>
      <c r="BB47" s="103">
        <f t="shared" si="133"/>
        <v>1</v>
      </c>
      <c r="BC47" s="103" t="str">
        <f t="shared" si="134"/>
        <v>90% - 100%</v>
      </c>
      <c r="BD47" s="170" t="s">
        <v>91</v>
      </c>
      <c r="BE47" s="171"/>
      <c r="BF47" s="170" t="s">
        <v>469</v>
      </c>
      <c r="BG47" s="170">
        <v>0.0</v>
      </c>
      <c r="BH47" s="169">
        <v>2.0</v>
      </c>
      <c r="BI47" s="170" t="s">
        <v>493</v>
      </c>
      <c r="BJ47" s="170" t="s">
        <v>469</v>
      </c>
      <c r="BK47" s="170" t="s">
        <v>493</v>
      </c>
      <c r="BL47" s="170" t="s">
        <v>469</v>
      </c>
      <c r="BM47" s="170">
        <v>3.0</v>
      </c>
      <c r="BN47" s="169">
        <v>9.0</v>
      </c>
      <c r="BO47" s="169">
        <v>0.0</v>
      </c>
      <c r="BP47" s="169">
        <v>0.0</v>
      </c>
      <c r="BQ47" s="130"/>
      <c r="BR47" s="170">
        <v>6.0</v>
      </c>
      <c r="BS47" s="170">
        <v>1.0</v>
      </c>
      <c r="BT47" s="170">
        <v>1.0</v>
      </c>
      <c r="BU47" s="170">
        <v>31.0</v>
      </c>
      <c r="BV47" s="175" t="s">
        <v>469</v>
      </c>
      <c r="BW47" s="130"/>
      <c r="BX47" s="170">
        <v>1.0</v>
      </c>
      <c r="BY47" s="170">
        <v>1.0</v>
      </c>
      <c r="BZ47" s="170">
        <v>1.0</v>
      </c>
      <c r="CA47" s="170">
        <v>37.0</v>
      </c>
      <c r="CB47" s="170" t="s">
        <v>469</v>
      </c>
      <c r="CC47" s="130"/>
      <c r="CD47" s="171"/>
      <c r="CE47" s="171"/>
      <c r="CF47" s="171"/>
      <c r="CG47" s="171"/>
      <c r="CH47" s="171"/>
      <c r="CI47" s="130"/>
      <c r="CJ47" s="171"/>
      <c r="CK47" s="171"/>
      <c r="CL47" s="171"/>
      <c r="CM47" s="171"/>
      <c r="CN47" s="171"/>
      <c r="CO47" s="108"/>
      <c r="CP47" s="171"/>
      <c r="CQ47" s="171"/>
      <c r="CR47" s="171"/>
      <c r="CS47" s="171"/>
      <c r="CT47" s="171"/>
      <c r="CU47" s="130"/>
      <c r="CV47" s="171"/>
      <c r="CW47" s="171"/>
      <c r="CX47" s="171"/>
      <c r="CY47" s="171"/>
      <c r="CZ47" s="171"/>
      <c r="DA47" s="130"/>
      <c r="DB47" s="171"/>
      <c r="DC47" s="171"/>
      <c r="DD47" s="171"/>
      <c r="DE47" s="171"/>
      <c r="DF47" s="171"/>
      <c r="DG47" s="130"/>
      <c r="DH47" s="171"/>
      <c r="DI47" s="171"/>
      <c r="DJ47" s="171"/>
      <c r="DK47" s="171"/>
      <c r="DL47" s="171"/>
      <c r="DM47" s="130"/>
      <c r="DN47" s="171"/>
      <c r="DO47" s="171"/>
      <c r="DP47" s="171"/>
      <c r="DQ47" s="171"/>
      <c r="DR47" s="171"/>
      <c r="DS47" s="130"/>
      <c r="DT47" s="108"/>
      <c r="DU47" s="108"/>
      <c r="DW47" s="109"/>
      <c r="DX47" s="110">
        <f t="shared" si="13"/>
        <v>3.5</v>
      </c>
      <c r="DY47" s="111">
        <f t="shared" ref="DY47:DZ47" si="153">sum(BS47,BY47,CE47,CK47,CQ47,CW47,DC47,DI47,DO47)</f>
        <v>2</v>
      </c>
      <c r="DZ47" s="111">
        <f t="shared" si="153"/>
        <v>2</v>
      </c>
      <c r="EA47" s="110">
        <f t="shared" si="15"/>
        <v>34</v>
      </c>
      <c r="EB47" s="99" t="str">
        <f t="shared" si="16"/>
        <v>20 - 34</v>
      </c>
      <c r="EC47" s="112"/>
      <c r="ED47" s="113">
        <f t="shared" si="17"/>
        <v>4.4</v>
      </c>
      <c r="EE47" s="114">
        <f>IF(V47 &lt;&gt; "", 1+((V47-MIN(discount_rates))*(4)/(MAX(discount_rates) - MIN(discount_rates))), "")</f>
        <v>3.105263158</v>
      </c>
      <c r="EF47" s="114" t="str">
        <f>IF(Q47="Debt", (1+((S47-MIN(interest_rates))*(4)/(MAX(interest_rates) - MIN(interest_rates)))), "")</f>
        <v/>
      </c>
      <c r="EG47" s="114" t="str">
        <f>IF(OR(Q47="Revenue Share", Q47="Profit Share"), (1+((R47-MIN(return_mutiples))*(4)/(MAX(return_mutiples) - MIN(return_mutiples)))), "")</f>
        <v/>
      </c>
      <c r="EH47" s="115">
        <f t="shared" si="18"/>
        <v>4.4</v>
      </c>
      <c r="EI47" s="116" t="str">
        <f t="shared" si="19"/>
        <v>CAFES</v>
      </c>
      <c r="EJ47" s="117">
        <f t="shared" si="20"/>
        <v>0.1232876712</v>
      </c>
      <c r="EK47" s="116" t="str">
        <f t="shared" si="21"/>
        <v>Early</v>
      </c>
      <c r="EL47" s="112"/>
      <c r="EM47" s="118">
        <f t="shared" si="22"/>
        <v>2.7</v>
      </c>
      <c r="EN47" s="118">
        <f t="shared" si="23"/>
        <v>3</v>
      </c>
      <c r="EO47" s="119">
        <f t="shared" si="24"/>
        <v>5.7</v>
      </c>
      <c r="EP47" s="115">
        <f>1+((EO47-MIN(market_ratings_sums))*(4)/(MAX(market_ratings_sums) - MIN(market_ratings_sums)))</f>
        <v>3.105263158</v>
      </c>
      <c r="EQ47" s="116" t="str">
        <f t="shared" si="25"/>
        <v>No</v>
      </c>
      <c r="ER47" s="112"/>
      <c r="ES47" s="123">
        <f>1+((DX47-MIN(industry_experiences))*(4)/(MAX(industry_experiences) - MIN(industry_experiences)))</f>
        <v>1.333333333</v>
      </c>
      <c r="ET47" s="123">
        <f>1+((DY47-MIN(previous_startups))*(4)/(MAX(previous_startups) - MIN(previous_startups)))</f>
        <v>1.888888889</v>
      </c>
      <c r="EU47" s="123">
        <f>1+((DZ47-MIN(exits))*(4)/(MAX(exits) - MIN(exits)))</f>
        <v>3</v>
      </c>
      <c r="EV47" s="119">
        <f t="shared" si="26"/>
        <v>6.222222222</v>
      </c>
      <c r="EW47" s="124">
        <f>1+((EV47-MIN(team_ratings_sums))*(4)/(MAX(team_ratings_sums) - MIN(team_ratings_sums)))</f>
        <v>2.765217391</v>
      </c>
      <c r="EX47" s="116" t="str">
        <f t="shared" si="27"/>
        <v>20 - 34</v>
      </c>
      <c r="EY47" s="125">
        <f t="shared" si="28"/>
        <v>0.2054794521</v>
      </c>
      <c r="EZ47" s="116">
        <f t="shared" si="29"/>
        <v>2</v>
      </c>
      <c r="FA47" s="125">
        <f t="shared" si="30"/>
        <v>0.4520547945</v>
      </c>
      <c r="FB47" s="116">
        <f t="shared" si="31"/>
        <v>9</v>
      </c>
      <c r="FC47" s="125">
        <f t="shared" si="32"/>
        <v>0.05479452055</v>
      </c>
      <c r="FD47" s="116" t="str">
        <f t="shared" si="33"/>
        <v>Yes</v>
      </c>
      <c r="FE47" s="125">
        <f t="shared" si="34"/>
        <v>0.2465753425</v>
      </c>
      <c r="FF47" s="116" t="str">
        <f t="shared" ref="FF47:FH47" si="154">BJ47</f>
        <v>No</v>
      </c>
      <c r="FG47" s="116" t="str">
        <f t="shared" si="154"/>
        <v>Yes</v>
      </c>
      <c r="FH47" s="116" t="str">
        <f t="shared" si="154"/>
        <v>No</v>
      </c>
      <c r="FI47" s="112"/>
      <c r="FJ47" s="116" t="str">
        <f t="shared" si="36"/>
        <v>Recurring</v>
      </c>
      <c r="FK47" s="125">
        <f t="shared" si="37"/>
        <v>0.397260274</v>
      </c>
      <c r="FL47" s="116" t="str">
        <f t="shared" si="38"/>
        <v>B2B</v>
      </c>
      <c r="FM47" s="125">
        <f t="shared" si="39"/>
        <v>0.2465753425</v>
      </c>
      <c r="FN47" s="116" t="str">
        <f t="shared" si="40"/>
        <v>High</v>
      </c>
      <c r="FO47" s="125">
        <f t="shared" si="41"/>
        <v>0.5616438356</v>
      </c>
      <c r="FP47" s="116" t="str">
        <f t="shared" si="42"/>
        <v>High</v>
      </c>
      <c r="FQ47" s="125">
        <f t="shared" si="43"/>
        <v>0.6438356164</v>
      </c>
      <c r="FR47" s="112"/>
      <c r="FS47" s="123">
        <f t="shared" si="44"/>
        <v>5</v>
      </c>
      <c r="FT47" s="123">
        <f t="shared" si="45"/>
        <v>1</v>
      </c>
      <c r="FU47" s="123">
        <f t="shared" si="46"/>
        <v>1</v>
      </c>
      <c r="FV47" s="123">
        <f t="shared" si="47"/>
        <v>5</v>
      </c>
      <c r="FW47" s="119">
        <f t="shared" si="48"/>
        <v>12</v>
      </c>
      <c r="FX47" s="115">
        <f>1+((FW47-MIN(performance_ratings_sums))*(4)/(MAX(performance_ratings_sums) - MIN(performance_ratings_sums)))</f>
        <v>2.981308411</v>
      </c>
      <c r="FY47" s="116" t="str">
        <f t="shared" si="49"/>
        <v>Pre-Revenue</v>
      </c>
      <c r="FZ47" s="126">
        <f t="shared" si="50"/>
        <v>0.2054794521</v>
      </c>
      <c r="GA47" s="112"/>
      <c r="GB47" s="127">
        <f t="shared" si="51"/>
        <v>1</v>
      </c>
      <c r="GC47" s="116" t="str">
        <f t="shared" si="52"/>
        <v>No</v>
      </c>
      <c r="GD47" s="126">
        <f t="shared" si="53"/>
        <v>0.7671232877</v>
      </c>
      <c r="GE47" s="126" t="str">
        <f t="shared" si="54"/>
        <v>High</v>
      </c>
      <c r="GF47" s="126">
        <f t="shared" si="55"/>
        <v>0.4520547945</v>
      </c>
      <c r="GG47" s="126" t="str">
        <f t="shared" si="56"/>
        <v>Low</v>
      </c>
      <c r="GH47" s="126">
        <f t="shared" si="57"/>
        <v>0.1917808219</v>
      </c>
      <c r="GI47" s="112"/>
      <c r="GJ47" s="116"/>
      <c r="GK47" s="119">
        <f t="shared" si="58"/>
        <v>14.25178896</v>
      </c>
      <c r="GL47" s="128">
        <f>1+((GK47-MIN(ratings_sums))*(4)/(MAX(ratings_sums) - MIN(ratings_sums)))</f>
        <v>3.165614662</v>
      </c>
    </row>
    <row r="48" ht="15.75" customHeight="1">
      <c r="A48" s="176" t="s">
        <v>702</v>
      </c>
      <c r="B48" s="169">
        <v>1786413.0</v>
      </c>
      <c r="C48" s="177" t="s">
        <v>754</v>
      </c>
      <c r="D48" s="178">
        <v>43713.58194444444</v>
      </c>
      <c r="E48" s="170" t="s">
        <v>363</v>
      </c>
      <c r="F48" s="150" t="s">
        <v>755</v>
      </c>
      <c r="G48" s="150" t="s">
        <v>756</v>
      </c>
      <c r="H48" s="179">
        <v>43713.0</v>
      </c>
      <c r="I48" s="180" t="s">
        <v>757</v>
      </c>
      <c r="J48" s="180" t="s">
        <v>758</v>
      </c>
      <c r="K48" s="170" t="s">
        <v>457</v>
      </c>
      <c r="L48" s="170" t="s">
        <v>390</v>
      </c>
      <c r="M48" s="170" t="s">
        <v>81</v>
      </c>
      <c r="N48" s="170" t="s">
        <v>82</v>
      </c>
      <c r="O48" s="170" t="s">
        <v>35</v>
      </c>
      <c r="P48" s="171"/>
      <c r="Q48" s="170" t="s">
        <v>34</v>
      </c>
      <c r="R48" s="181"/>
      <c r="S48" s="182"/>
      <c r="T48" s="183"/>
      <c r="U48" s="184">
        <v>1600000.0</v>
      </c>
      <c r="V48" s="185">
        <v>0.0</v>
      </c>
      <c r="W48" s="96">
        <f t="shared" si="125"/>
        <v>1600000</v>
      </c>
      <c r="X48" s="98">
        <f t="shared" si="126"/>
        <v>1600000</v>
      </c>
      <c r="Y48" s="99" t="str">
        <f t="shared" si="127"/>
        <v>$1M - $2M</v>
      </c>
      <c r="Z48" s="170" t="s">
        <v>36</v>
      </c>
      <c r="AA48" s="170" t="s">
        <v>123</v>
      </c>
      <c r="AB48" s="170" t="s">
        <v>38</v>
      </c>
      <c r="AC48" s="170" t="s">
        <v>469</v>
      </c>
      <c r="AD48" s="170" t="s">
        <v>39</v>
      </c>
      <c r="AE48" s="170" t="s">
        <v>39</v>
      </c>
      <c r="AF48" s="170" t="s">
        <v>493</v>
      </c>
      <c r="AG48" s="184">
        <v>7.85E8</v>
      </c>
      <c r="AH48" s="97" t="str">
        <f t="shared" si="128"/>
        <v>$500M-$1B</v>
      </c>
      <c r="AI48" s="184">
        <v>7.85E8</v>
      </c>
      <c r="AJ48" s="97" t="str">
        <f t="shared" si="129"/>
        <v>$500M-$1B</v>
      </c>
      <c r="AK48" s="186">
        <v>0.128</v>
      </c>
      <c r="AL48" s="88" t="str">
        <f t="shared" si="130"/>
        <v>10%-20%</v>
      </c>
      <c r="AM48" s="169">
        <v>30.0</v>
      </c>
      <c r="AN48" s="170" t="s">
        <v>89</v>
      </c>
      <c r="AO48" s="170" t="s">
        <v>89</v>
      </c>
      <c r="AP48" s="170" t="s">
        <v>40</v>
      </c>
      <c r="AQ48" s="100" t="s">
        <v>89</v>
      </c>
      <c r="AR48" s="100" t="s">
        <v>39</v>
      </c>
      <c r="AS48" s="170" t="s">
        <v>469</v>
      </c>
      <c r="AT48" s="170" t="s">
        <v>469</v>
      </c>
      <c r="AU48" s="170" t="s">
        <v>493</v>
      </c>
      <c r="AV48" s="170" t="s">
        <v>493</v>
      </c>
      <c r="AW48" s="184">
        <v>19606.0</v>
      </c>
      <c r="AX48" s="96" t="str">
        <f t="shared" si="131"/>
        <v>$10K - $50K</v>
      </c>
      <c r="AY48" s="184">
        <v>8178.0</v>
      </c>
      <c r="AZ48" s="21">
        <v>0.0</v>
      </c>
      <c r="BA48" s="103" t="str">
        <f t="shared" si="132"/>
        <v>&lt; $10K</v>
      </c>
      <c r="BB48" s="103">
        <f t="shared" si="133"/>
        <v>1</v>
      </c>
      <c r="BC48" s="103" t="str">
        <f t="shared" si="134"/>
        <v>90% - 100%</v>
      </c>
      <c r="BD48" s="170" t="s">
        <v>107</v>
      </c>
      <c r="BE48" s="171"/>
      <c r="BF48" s="170" t="s">
        <v>469</v>
      </c>
      <c r="BG48" s="169">
        <v>0.0</v>
      </c>
      <c r="BH48" s="169">
        <v>2.0</v>
      </c>
      <c r="BI48" s="170" t="s">
        <v>469</v>
      </c>
      <c r="BJ48" s="170" t="s">
        <v>493</v>
      </c>
      <c r="BK48" s="170" t="s">
        <v>469</v>
      </c>
      <c r="BL48" s="170" t="s">
        <v>469</v>
      </c>
      <c r="BM48" s="169">
        <v>0.0</v>
      </c>
      <c r="BN48" s="169">
        <v>2.0</v>
      </c>
      <c r="BO48" s="169">
        <v>0.0</v>
      </c>
      <c r="BP48" s="169">
        <v>0.0</v>
      </c>
      <c r="BQ48" s="130"/>
      <c r="BR48" s="169">
        <v>6.0</v>
      </c>
      <c r="BS48" s="169">
        <v>0.0</v>
      </c>
      <c r="BT48" s="169">
        <v>0.0</v>
      </c>
      <c r="BU48" s="169">
        <v>42.0</v>
      </c>
      <c r="BV48" s="170" t="s">
        <v>469</v>
      </c>
      <c r="BW48" s="130"/>
      <c r="BX48" s="171"/>
      <c r="BY48" s="171"/>
      <c r="BZ48" s="171"/>
      <c r="CA48" s="171"/>
      <c r="CB48" s="171"/>
      <c r="CC48" s="130"/>
      <c r="CD48" s="171"/>
      <c r="CE48" s="171"/>
      <c r="CF48" s="171"/>
      <c r="CG48" s="171"/>
      <c r="CH48" s="171"/>
      <c r="CI48" s="130"/>
      <c r="CJ48" s="171"/>
      <c r="CK48" s="171"/>
      <c r="CL48" s="171"/>
      <c r="CM48" s="171"/>
      <c r="CN48" s="171"/>
      <c r="CO48" s="108"/>
      <c r="CP48" s="171"/>
      <c r="CQ48" s="171"/>
      <c r="CR48" s="171"/>
      <c r="CS48" s="171"/>
      <c r="CT48" s="171"/>
      <c r="CU48" s="130"/>
      <c r="CV48" s="171"/>
      <c r="CW48" s="171"/>
      <c r="CX48" s="171"/>
      <c r="CY48" s="171"/>
      <c r="CZ48" s="171"/>
      <c r="DA48" s="130"/>
      <c r="DB48" s="171"/>
      <c r="DC48" s="171"/>
      <c r="DD48" s="171"/>
      <c r="DE48" s="171"/>
      <c r="DF48" s="171"/>
      <c r="DG48" s="130"/>
      <c r="DH48" s="171"/>
      <c r="DI48" s="171"/>
      <c r="DJ48" s="171"/>
      <c r="DK48" s="171"/>
      <c r="DL48" s="171"/>
      <c r="DM48" s="130"/>
      <c r="DN48" s="171"/>
      <c r="DO48" s="171"/>
      <c r="DP48" s="171"/>
      <c r="DQ48" s="171"/>
      <c r="DR48" s="171"/>
      <c r="DS48" s="130"/>
      <c r="DT48" s="108"/>
      <c r="DU48" s="108"/>
      <c r="DW48" s="109"/>
      <c r="DX48" s="110">
        <f t="shared" si="13"/>
        <v>6</v>
      </c>
      <c r="DY48" s="111">
        <f t="shared" ref="DY48:DZ48" si="155">sum(BS48,BY48,CE48,CK48,CQ48,CW48,DC48,DI48,DO48)</f>
        <v>0</v>
      </c>
      <c r="DZ48" s="111">
        <f t="shared" si="155"/>
        <v>0</v>
      </c>
      <c r="EA48" s="110">
        <f t="shared" si="15"/>
        <v>42</v>
      </c>
      <c r="EB48" s="99" t="str">
        <f t="shared" si="16"/>
        <v>35 - 54</v>
      </c>
      <c r="EC48" s="112"/>
      <c r="ED48" s="113">
        <f t="shared" si="17"/>
        <v>4.8</v>
      </c>
      <c r="EE48" s="114">
        <f>IF(V48 &lt;&gt; "", 1+((V48-MIN(discount_rates))*(4)/(MAX(discount_rates) - MIN(discount_rates))), "")</f>
        <v>1</v>
      </c>
      <c r="EF48" s="114" t="str">
        <f>IF(Q48="Debt", (1+((S48-MIN(interest_rates))*(4)/(MAX(interest_rates) - MIN(interest_rates)))), "")</f>
        <v/>
      </c>
      <c r="EG48" s="114" t="str">
        <f>IF(OR(Q48="Revenue Share", Q48="Profit Share"), (1+((R48-MIN(return_mutiples))*(4)/(MAX(return_mutiples) - MIN(return_mutiples)))), "")</f>
        <v/>
      </c>
      <c r="EH48" s="115">
        <f t="shared" si="18"/>
        <v>4.8</v>
      </c>
      <c r="EI48" s="116" t="str">
        <f t="shared" si="19"/>
        <v>CAFES</v>
      </c>
      <c r="EJ48" s="117">
        <f t="shared" si="20"/>
        <v>0.1232876712</v>
      </c>
      <c r="EK48" s="116" t="str">
        <f t="shared" si="21"/>
        <v>Growth</v>
      </c>
      <c r="EL48" s="112"/>
      <c r="EM48" s="118">
        <f t="shared" si="22"/>
        <v>2.4</v>
      </c>
      <c r="EN48" s="118">
        <f t="shared" si="23"/>
        <v>2.3</v>
      </c>
      <c r="EO48" s="119">
        <f t="shared" si="24"/>
        <v>4.7</v>
      </c>
      <c r="EP48" s="115">
        <f>1+((EO48-MIN(market_ratings_sums))*(4)/(MAX(market_ratings_sums) - MIN(market_ratings_sums)))</f>
        <v>2.403508772</v>
      </c>
      <c r="EQ48" s="116" t="str">
        <f t="shared" si="25"/>
        <v>No</v>
      </c>
      <c r="ER48" s="112"/>
      <c r="ES48" s="123">
        <f>1+((DX48-MIN(industry_experiences))*(4)/(MAX(industry_experiences) - MIN(industry_experiences)))</f>
        <v>1.571428571</v>
      </c>
      <c r="ET48" s="123">
        <f>1+((DY48-MIN(previous_startups))*(4)/(MAX(previous_startups) - MIN(previous_startups)))</f>
        <v>1</v>
      </c>
      <c r="EU48" s="123">
        <f>1+((DZ48-MIN(exits))*(4)/(MAX(exits) - MIN(exits)))</f>
        <v>1</v>
      </c>
      <c r="EV48" s="119">
        <f t="shared" si="26"/>
        <v>3.571428571</v>
      </c>
      <c r="EW48" s="124">
        <f>1+((EV48-MIN(team_ratings_sums))*(4)/(MAX(team_ratings_sums) - MIN(team_ratings_sums)))</f>
        <v>1.313043478</v>
      </c>
      <c r="EX48" s="116" t="str">
        <f t="shared" si="27"/>
        <v>35 - 54</v>
      </c>
      <c r="EY48" s="125">
        <f t="shared" si="28"/>
        <v>0.6849315068</v>
      </c>
      <c r="EZ48" s="116">
        <f t="shared" si="29"/>
        <v>2</v>
      </c>
      <c r="FA48" s="125">
        <f t="shared" si="30"/>
        <v>0.4520547945</v>
      </c>
      <c r="FB48" s="116">
        <f t="shared" si="31"/>
        <v>2</v>
      </c>
      <c r="FC48" s="125">
        <f t="shared" si="32"/>
        <v>0.1369863014</v>
      </c>
      <c r="FD48" s="116" t="str">
        <f t="shared" si="33"/>
        <v>No</v>
      </c>
      <c r="FE48" s="125">
        <f t="shared" si="34"/>
        <v>0.7534246575</v>
      </c>
      <c r="FF48" s="116" t="str">
        <f t="shared" ref="FF48:FH48" si="156">BJ48</f>
        <v>Yes</v>
      </c>
      <c r="FG48" s="116" t="str">
        <f t="shared" si="156"/>
        <v>No</v>
      </c>
      <c r="FH48" s="116" t="str">
        <f t="shared" si="156"/>
        <v>No</v>
      </c>
      <c r="FI48" s="112"/>
      <c r="FJ48" s="116" t="str">
        <f t="shared" si="36"/>
        <v>Transactional</v>
      </c>
      <c r="FK48" s="125">
        <f t="shared" si="37"/>
        <v>0.602739726</v>
      </c>
      <c r="FL48" s="116" t="str">
        <f t="shared" si="38"/>
        <v>B2B/B2C</v>
      </c>
      <c r="FM48" s="125">
        <f t="shared" si="39"/>
        <v>0.3287671233</v>
      </c>
      <c r="FN48" s="116" t="str">
        <f t="shared" si="40"/>
        <v>High</v>
      </c>
      <c r="FO48" s="125">
        <f t="shared" si="41"/>
        <v>0.5616438356</v>
      </c>
      <c r="FP48" s="116" t="str">
        <f t="shared" si="42"/>
        <v>High</v>
      </c>
      <c r="FQ48" s="125">
        <f t="shared" si="43"/>
        <v>0.6438356164</v>
      </c>
      <c r="FR48" s="112"/>
      <c r="FS48" s="123">
        <f t="shared" si="44"/>
        <v>5</v>
      </c>
      <c r="FT48" s="123">
        <f t="shared" si="45"/>
        <v>1.4</v>
      </c>
      <c r="FU48" s="123">
        <f t="shared" si="46"/>
        <v>1</v>
      </c>
      <c r="FV48" s="123">
        <f t="shared" si="47"/>
        <v>5</v>
      </c>
      <c r="FW48" s="119">
        <f t="shared" si="48"/>
        <v>12.4</v>
      </c>
      <c r="FX48" s="115">
        <f>1+((FW48-MIN(performance_ratings_sums))*(4)/(MAX(performance_ratings_sums) - MIN(performance_ratings_sums)))</f>
        <v>3.130841121</v>
      </c>
      <c r="FY48" s="116" t="str">
        <f t="shared" si="49"/>
        <v>Pre-Profit</v>
      </c>
      <c r="FZ48" s="126">
        <f t="shared" si="50"/>
        <v>0.4931506849</v>
      </c>
      <c r="GA48" s="112"/>
      <c r="GB48" s="127">
        <f t="shared" si="51"/>
        <v>1</v>
      </c>
      <c r="GC48" s="116" t="str">
        <f t="shared" si="52"/>
        <v>No</v>
      </c>
      <c r="GD48" s="126">
        <f t="shared" si="53"/>
        <v>0.7671232877</v>
      </c>
      <c r="GE48" s="126" t="str">
        <f t="shared" si="54"/>
        <v>Low</v>
      </c>
      <c r="GF48" s="126">
        <f t="shared" si="55"/>
        <v>0.5479452055</v>
      </c>
      <c r="GG48" s="126" t="str">
        <f t="shared" si="56"/>
        <v>High</v>
      </c>
      <c r="GH48" s="126">
        <f t="shared" si="57"/>
        <v>0.8082191781</v>
      </c>
      <c r="GI48" s="112"/>
      <c r="GJ48" s="116"/>
      <c r="GK48" s="119">
        <f t="shared" si="58"/>
        <v>12.64739337</v>
      </c>
      <c r="GL48" s="128">
        <f>1+((GK48-MIN(ratings_sums))*(4)/(MAX(ratings_sums) - MIN(ratings_sums)))</f>
        <v>2.673321971</v>
      </c>
    </row>
    <row r="49" ht="15.75" customHeight="1">
      <c r="A49" s="176" t="s">
        <v>702</v>
      </c>
      <c r="B49" s="169">
        <v>1739088.0</v>
      </c>
      <c r="C49" s="177" t="s">
        <v>759</v>
      </c>
      <c r="D49" s="178">
        <v>43713.62222222222</v>
      </c>
      <c r="E49" s="170" t="s">
        <v>363</v>
      </c>
      <c r="F49" s="150" t="s">
        <v>760</v>
      </c>
      <c r="G49" s="150" t="s">
        <v>761</v>
      </c>
      <c r="H49" s="179">
        <v>43220.0</v>
      </c>
      <c r="I49" s="180" t="s">
        <v>759</v>
      </c>
      <c r="J49" s="180" t="s">
        <v>759</v>
      </c>
      <c r="K49" s="170" t="s">
        <v>446</v>
      </c>
      <c r="L49" s="170" t="s">
        <v>390</v>
      </c>
      <c r="M49" s="170" t="s">
        <v>31</v>
      </c>
      <c r="N49" s="170" t="s">
        <v>32</v>
      </c>
      <c r="O49" s="170" t="s">
        <v>35</v>
      </c>
      <c r="P49" s="171"/>
      <c r="Q49" s="170" t="s">
        <v>34</v>
      </c>
      <c r="R49" s="181"/>
      <c r="S49" s="182"/>
      <c r="T49" s="183"/>
      <c r="U49" s="184">
        <v>1500000.0</v>
      </c>
      <c r="V49" s="185">
        <v>0.0</v>
      </c>
      <c r="W49" s="96">
        <f t="shared" si="125"/>
        <v>1500000</v>
      </c>
      <c r="X49" s="98">
        <f t="shared" si="126"/>
        <v>1500000</v>
      </c>
      <c r="Y49" s="99" t="str">
        <f t="shared" si="127"/>
        <v>$1M - $2M</v>
      </c>
      <c r="Z49" s="170" t="s">
        <v>36</v>
      </c>
      <c r="AA49" s="170" t="s">
        <v>123</v>
      </c>
      <c r="AB49" s="170" t="s">
        <v>38</v>
      </c>
      <c r="AC49" s="170" t="s">
        <v>469</v>
      </c>
      <c r="AD49" s="170" t="s">
        <v>89</v>
      </c>
      <c r="AE49" s="170" t="s">
        <v>89</v>
      </c>
      <c r="AF49" s="170" t="s">
        <v>469</v>
      </c>
      <c r="AG49" s="184">
        <v>1.0E7</v>
      </c>
      <c r="AH49" s="97" t="str">
        <f t="shared" si="128"/>
        <v>&lt; $25M</v>
      </c>
      <c r="AI49" s="184">
        <v>1.0E7</v>
      </c>
      <c r="AJ49" s="97" t="str">
        <f t="shared" si="129"/>
        <v>&lt; $25M</v>
      </c>
      <c r="AK49" s="188">
        <v>0.05</v>
      </c>
      <c r="AL49" s="88" t="str">
        <f t="shared" si="130"/>
        <v>0%-10%</v>
      </c>
      <c r="AM49" s="171"/>
      <c r="AN49" s="170" t="s">
        <v>89</v>
      </c>
      <c r="AO49" s="170" t="s">
        <v>89</v>
      </c>
      <c r="AP49" s="170" t="s">
        <v>40</v>
      </c>
      <c r="AQ49" s="100" t="s">
        <v>89</v>
      </c>
      <c r="AR49" s="100" t="s">
        <v>39</v>
      </c>
      <c r="AS49" s="170" t="s">
        <v>493</v>
      </c>
      <c r="AT49" s="170" t="s">
        <v>469</v>
      </c>
      <c r="AU49" s="170" t="s">
        <v>493</v>
      </c>
      <c r="AV49" s="170" t="s">
        <v>469</v>
      </c>
      <c r="AW49" s="184">
        <v>0.0</v>
      </c>
      <c r="AX49" s="96" t="str">
        <f t="shared" si="131"/>
        <v>&lt; $10K</v>
      </c>
      <c r="AY49" s="184">
        <v>0.0</v>
      </c>
      <c r="AZ49" s="21">
        <v>0.0</v>
      </c>
      <c r="BA49" s="103" t="str">
        <f t="shared" si="132"/>
        <v>&lt; $10K</v>
      </c>
      <c r="BB49" s="103">
        <f t="shared" si="133"/>
        <v>1</v>
      </c>
      <c r="BC49" s="103" t="str">
        <f t="shared" si="134"/>
        <v>90% - 100%</v>
      </c>
      <c r="BD49" s="170" t="s">
        <v>91</v>
      </c>
      <c r="BE49" s="171"/>
      <c r="BF49" s="170" t="s">
        <v>469</v>
      </c>
      <c r="BG49" s="170">
        <v>0.0</v>
      </c>
      <c r="BH49" s="169">
        <v>2.0</v>
      </c>
      <c r="BI49" s="170" t="s">
        <v>469</v>
      </c>
      <c r="BJ49" s="170" t="s">
        <v>469</v>
      </c>
      <c r="BK49" s="170" t="s">
        <v>469</v>
      </c>
      <c r="BL49" s="170" t="s">
        <v>469</v>
      </c>
      <c r="BM49" s="169">
        <v>2.0</v>
      </c>
      <c r="BN49" s="169">
        <v>2.0</v>
      </c>
      <c r="BO49" s="169">
        <v>0.0</v>
      </c>
      <c r="BP49" s="169">
        <v>0.0</v>
      </c>
      <c r="BQ49" s="130"/>
      <c r="BR49" s="169">
        <v>30.0</v>
      </c>
      <c r="BS49" s="170">
        <v>0.0</v>
      </c>
      <c r="BT49" s="170">
        <v>0.0</v>
      </c>
      <c r="BU49" s="169">
        <v>42.0</v>
      </c>
      <c r="BV49" s="170" t="s">
        <v>469</v>
      </c>
      <c r="BW49" s="130"/>
      <c r="BX49" s="170">
        <v>3.0</v>
      </c>
      <c r="BY49" s="170">
        <v>0.0</v>
      </c>
      <c r="BZ49" s="170">
        <v>0.0</v>
      </c>
      <c r="CA49" s="170">
        <v>54.0</v>
      </c>
      <c r="CB49" s="170" t="s">
        <v>469</v>
      </c>
      <c r="CC49" s="130"/>
      <c r="CD49" s="171"/>
      <c r="CE49" s="171"/>
      <c r="CF49" s="171"/>
      <c r="CG49" s="171"/>
      <c r="CH49" s="171"/>
      <c r="CI49" s="130"/>
      <c r="CJ49" s="171"/>
      <c r="CK49" s="171"/>
      <c r="CL49" s="171"/>
      <c r="CM49" s="171"/>
      <c r="CN49" s="171"/>
      <c r="CO49" s="108"/>
      <c r="CP49" s="171"/>
      <c r="CQ49" s="171"/>
      <c r="CR49" s="171"/>
      <c r="CS49" s="171"/>
      <c r="CT49" s="171"/>
      <c r="CU49" s="130"/>
      <c r="CV49" s="171"/>
      <c r="CW49" s="171"/>
      <c r="CX49" s="171"/>
      <c r="CY49" s="171"/>
      <c r="CZ49" s="171"/>
      <c r="DA49" s="130"/>
      <c r="DB49" s="171"/>
      <c r="DC49" s="171"/>
      <c r="DD49" s="171"/>
      <c r="DE49" s="171"/>
      <c r="DF49" s="171"/>
      <c r="DG49" s="130"/>
      <c r="DH49" s="171"/>
      <c r="DI49" s="171"/>
      <c r="DJ49" s="171"/>
      <c r="DK49" s="171"/>
      <c r="DL49" s="171"/>
      <c r="DM49" s="130"/>
      <c r="DN49" s="171"/>
      <c r="DO49" s="171"/>
      <c r="DP49" s="171"/>
      <c r="DQ49" s="171"/>
      <c r="DR49" s="171"/>
      <c r="DS49" s="130"/>
      <c r="DT49" s="108"/>
      <c r="DU49" s="108"/>
      <c r="DW49" s="109"/>
      <c r="DX49" s="110">
        <f t="shared" si="13"/>
        <v>16.5</v>
      </c>
      <c r="DY49" s="111">
        <f t="shared" ref="DY49:DZ49" si="157">sum(BS49,BY49,CE49,CK49,CQ49,CW49,DC49,DI49,DO49)</f>
        <v>0</v>
      </c>
      <c r="DZ49" s="111">
        <f t="shared" si="157"/>
        <v>0</v>
      </c>
      <c r="EA49" s="110">
        <f t="shared" si="15"/>
        <v>48</v>
      </c>
      <c r="EB49" s="99" t="str">
        <f t="shared" si="16"/>
        <v>35 - 54</v>
      </c>
      <c r="EC49" s="112"/>
      <c r="ED49" s="113">
        <f t="shared" si="17"/>
        <v>4.8</v>
      </c>
      <c r="EE49" s="114">
        <f>IF(V49 &lt;&gt; "", 1+((V49-MIN(discount_rates))*(4)/(MAX(discount_rates) - MIN(discount_rates))), "")</f>
        <v>1</v>
      </c>
      <c r="EF49" s="114" t="str">
        <f>IF(Q49="Debt", (1+((S49-MIN(interest_rates))*(4)/(MAX(interest_rates) - MIN(interest_rates)))), "")</f>
        <v/>
      </c>
      <c r="EG49" s="114" t="str">
        <f>IF(OR(Q49="Revenue Share", Q49="Profit Share"), (1+((R49-MIN(return_mutiples))*(4)/(MAX(return_mutiples) - MIN(return_mutiples)))), "")</f>
        <v/>
      </c>
      <c r="EH49" s="115">
        <f t="shared" si="18"/>
        <v>4.8</v>
      </c>
      <c r="EI49" s="116" t="str">
        <f t="shared" si="19"/>
        <v>CAFES</v>
      </c>
      <c r="EJ49" s="117">
        <f t="shared" si="20"/>
        <v>0.1232876712</v>
      </c>
      <c r="EK49" s="116" t="str">
        <f t="shared" si="21"/>
        <v>Early</v>
      </c>
      <c r="EL49" s="112"/>
      <c r="EM49" s="118">
        <f t="shared" si="22"/>
        <v>1</v>
      </c>
      <c r="EN49" s="118">
        <f t="shared" si="23"/>
        <v>1.7</v>
      </c>
      <c r="EO49" s="119">
        <f t="shared" si="24"/>
        <v>2.7</v>
      </c>
      <c r="EP49" s="115">
        <f>1+((EO49-MIN(market_ratings_sums))*(4)/(MAX(market_ratings_sums) - MIN(market_ratings_sums)))</f>
        <v>1</v>
      </c>
      <c r="EQ49" s="116" t="str">
        <f t="shared" si="25"/>
        <v>Yes</v>
      </c>
      <c r="ER49" s="112"/>
      <c r="ES49" s="123">
        <f>1+((DX49-MIN(industry_experiences))*(4)/(MAX(industry_experiences) - MIN(industry_experiences)))</f>
        <v>2.571428571</v>
      </c>
      <c r="ET49" s="123">
        <f>1+((DY49-MIN(previous_startups))*(4)/(MAX(previous_startups) - MIN(previous_startups)))</f>
        <v>1</v>
      </c>
      <c r="EU49" s="123">
        <f>1+((DZ49-MIN(exits))*(4)/(MAX(exits) - MIN(exits)))</f>
        <v>1</v>
      </c>
      <c r="EV49" s="119">
        <f t="shared" si="26"/>
        <v>4.571428571</v>
      </c>
      <c r="EW49" s="124">
        <f>1+((EV49-MIN(team_ratings_sums))*(4)/(MAX(team_ratings_sums) - MIN(team_ratings_sums)))</f>
        <v>1.860869565</v>
      </c>
      <c r="EX49" s="116" t="str">
        <f t="shared" si="27"/>
        <v>35 - 54</v>
      </c>
      <c r="EY49" s="125">
        <f t="shared" si="28"/>
        <v>0.6849315068</v>
      </c>
      <c r="EZ49" s="116">
        <f t="shared" si="29"/>
        <v>2</v>
      </c>
      <c r="FA49" s="125">
        <f t="shared" si="30"/>
        <v>0.4520547945</v>
      </c>
      <c r="FB49" s="116">
        <f t="shared" si="31"/>
        <v>2</v>
      </c>
      <c r="FC49" s="125">
        <f t="shared" si="32"/>
        <v>0.1369863014</v>
      </c>
      <c r="FD49" s="116" t="str">
        <f t="shared" si="33"/>
        <v>No</v>
      </c>
      <c r="FE49" s="125">
        <f t="shared" si="34"/>
        <v>0.7534246575</v>
      </c>
      <c r="FF49" s="116" t="str">
        <f t="shared" ref="FF49:FH49" si="158">BJ49</f>
        <v>No</v>
      </c>
      <c r="FG49" s="116" t="str">
        <f t="shared" si="158"/>
        <v>No</v>
      </c>
      <c r="FH49" s="116" t="str">
        <f t="shared" si="158"/>
        <v>No</v>
      </c>
      <c r="FI49" s="112"/>
      <c r="FJ49" s="116" t="str">
        <f t="shared" si="36"/>
        <v>Transactional</v>
      </c>
      <c r="FK49" s="125">
        <f t="shared" si="37"/>
        <v>0.602739726</v>
      </c>
      <c r="FL49" s="116" t="str">
        <f t="shared" si="38"/>
        <v>B2B/B2C</v>
      </c>
      <c r="FM49" s="125">
        <f t="shared" si="39"/>
        <v>0.3287671233</v>
      </c>
      <c r="FN49" s="116" t="str">
        <f t="shared" si="40"/>
        <v>Low</v>
      </c>
      <c r="FO49" s="125">
        <f t="shared" si="41"/>
        <v>0.4383561644</v>
      </c>
      <c r="FP49" s="116" t="str">
        <f t="shared" si="42"/>
        <v>Low</v>
      </c>
      <c r="FQ49" s="125">
        <f t="shared" si="43"/>
        <v>0.3561643836</v>
      </c>
      <c r="FR49" s="112"/>
      <c r="FS49" s="123">
        <f t="shared" si="44"/>
        <v>3</v>
      </c>
      <c r="FT49" s="123">
        <f t="shared" si="45"/>
        <v>1</v>
      </c>
      <c r="FU49" s="123">
        <f t="shared" si="46"/>
        <v>1</v>
      </c>
      <c r="FV49" s="123">
        <f t="shared" si="47"/>
        <v>5</v>
      </c>
      <c r="FW49" s="119">
        <f t="shared" si="48"/>
        <v>10</v>
      </c>
      <c r="FX49" s="115">
        <f>1+((FW49-MIN(performance_ratings_sums))*(4)/(MAX(performance_ratings_sums) - MIN(performance_ratings_sums)))</f>
        <v>2.23364486</v>
      </c>
      <c r="FY49" s="116" t="str">
        <f t="shared" si="49"/>
        <v>Pre-Revenue</v>
      </c>
      <c r="FZ49" s="126">
        <f t="shared" si="50"/>
        <v>0.2054794521</v>
      </c>
      <c r="GA49" s="112"/>
      <c r="GB49" s="127">
        <f t="shared" si="51"/>
        <v>1</v>
      </c>
      <c r="GC49" s="116" t="str">
        <f t="shared" si="52"/>
        <v>No</v>
      </c>
      <c r="GD49" s="126">
        <f t="shared" si="53"/>
        <v>0.7671232877</v>
      </c>
      <c r="GE49" s="126" t="str">
        <f t="shared" si="54"/>
        <v>Low</v>
      </c>
      <c r="GF49" s="126">
        <f t="shared" si="55"/>
        <v>0.5479452055</v>
      </c>
      <c r="GG49" s="126" t="str">
        <f t="shared" si="56"/>
        <v>High</v>
      </c>
      <c r="GH49" s="126">
        <f t="shared" si="57"/>
        <v>0.8082191781</v>
      </c>
      <c r="GI49" s="112"/>
      <c r="GJ49" s="116"/>
      <c r="GK49" s="119">
        <f t="shared" si="58"/>
        <v>10.89451443</v>
      </c>
      <c r="GL49" s="128">
        <f>1+((GK49-MIN(ratings_sums))*(4)/(MAX(ratings_sums) - MIN(ratings_sums)))</f>
        <v>2.135468652</v>
      </c>
    </row>
    <row r="50" ht="15.75" customHeight="1">
      <c r="A50" s="176" t="s">
        <v>702</v>
      </c>
      <c r="B50" s="169">
        <v>1685241.0</v>
      </c>
      <c r="C50" s="177" t="s">
        <v>762</v>
      </c>
      <c r="D50" s="178">
        <v>43714.44305555556</v>
      </c>
      <c r="E50" s="170" t="s">
        <v>392</v>
      </c>
      <c r="F50" s="150" t="s">
        <v>763</v>
      </c>
      <c r="G50" s="150" t="s">
        <v>764</v>
      </c>
      <c r="H50" s="179">
        <v>43685.0</v>
      </c>
      <c r="I50" s="180" t="s">
        <v>765</v>
      </c>
      <c r="J50" s="180" t="s">
        <v>762</v>
      </c>
      <c r="K50" s="170" t="s">
        <v>448</v>
      </c>
      <c r="L50" s="170" t="s">
        <v>264</v>
      </c>
      <c r="M50" s="170" t="s">
        <v>31</v>
      </c>
      <c r="N50" s="170" t="s">
        <v>82</v>
      </c>
      <c r="O50" s="170" t="s">
        <v>35</v>
      </c>
      <c r="P50" s="171"/>
      <c r="Q50" s="170" t="s">
        <v>195</v>
      </c>
      <c r="R50" s="181"/>
      <c r="S50" s="182"/>
      <c r="T50" s="183"/>
      <c r="U50" s="184">
        <v>2000000.0</v>
      </c>
      <c r="V50" s="185">
        <v>0.0</v>
      </c>
      <c r="W50" s="96">
        <f t="shared" si="125"/>
        <v>2000000</v>
      </c>
      <c r="X50" s="98">
        <f t="shared" si="126"/>
        <v>2000000</v>
      </c>
      <c r="Y50" s="99" t="str">
        <f t="shared" si="127"/>
        <v>$1M - $2M</v>
      </c>
      <c r="Z50" s="170" t="s">
        <v>86</v>
      </c>
      <c r="AA50" s="170" t="s">
        <v>37</v>
      </c>
      <c r="AB50" s="170" t="s">
        <v>88</v>
      </c>
      <c r="AC50" s="170" t="s">
        <v>469</v>
      </c>
      <c r="AD50" s="170" t="s">
        <v>89</v>
      </c>
      <c r="AE50" s="170" t="s">
        <v>39</v>
      </c>
      <c r="AF50" s="170" t="s">
        <v>469</v>
      </c>
      <c r="AG50" s="184">
        <v>3.0E10</v>
      </c>
      <c r="AH50" s="97" t="str">
        <f t="shared" si="128"/>
        <v>$25B-$50B</v>
      </c>
      <c r="AI50" s="184">
        <v>5.0E9</v>
      </c>
      <c r="AJ50" s="97" t="str">
        <f t="shared" si="129"/>
        <v>$5B-$10B</v>
      </c>
      <c r="AK50" s="186">
        <v>0.145</v>
      </c>
      <c r="AL50" s="88" t="str">
        <f t="shared" si="130"/>
        <v>10%-20%</v>
      </c>
      <c r="AM50" s="169">
        <v>20.0</v>
      </c>
      <c r="AN50" s="170" t="s">
        <v>39</v>
      </c>
      <c r="AO50" s="170" t="s">
        <v>89</v>
      </c>
      <c r="AP50" s="170" t="s">
        <v>40</v>
      </c>
      <c r="AQ50" s="100" t="s">
        <v>39</v>
      </c>
      <c r="AR50" s="100" t="s">
        <v>39</v>
      </c>
      <c r="AS50" s="170" t="s">
        <v>469</v>
      </c>
      <c r="AT50" s="170" t="s">
        <v>469</v>
      </c>
      <c r="AU50" s="170" t="s">
        <v>493</v>
      </c>
      <c r="AV50" s="170" t="s">
        <v>493</v>
      </c>
      <c r="AW50" s="184">
        <v>3953.0</v>
      </c>
      <c r="AX50" s="96" t="str">
        <f t="shared" si="131"/>
        <v>&lt; $10K</v>
      </c>
      <c r="AY50" s="184">
        <v>14109.0</v>
      </c>
      <c r="AZ50" s="184">
        <v>944500.0</v>
      </c>
      <c r="BA50" s="103" t="str">
        <f t="shared" si="132"/>
        <v>$500K - $1M</v>
      </c>
      <c r="BB50" s="103">
        <f t="shared" si="133"/>
        <v>0.01493806247</v>
      </c>
      <c r="BC50" s="103" t="str">
        <f t="shared" si="134"/>
        <v>&lt; 10%</v>
      </c>
      <c r="BD50" s="170" t="s">
        <v>107</v>
      </c>
      <c r="BE50" s="171"/>
      <c r="BF50" s="170" t="s">
        <v>493</v>
      </c>
      <c r="BG50" s="170">
        <v>1.0</v>
      </c>
      <c r="BH50" s="169">
        <v>2.0</v>
      </c>
      <c r="BI50" s="170" t="s">
        <v>493</v>
      </c>
      <c r="BJ50" s="170" t="s">
        <v>469</v>
      </c>
      <c r="BK50" s="170" t="s">
        <v>469</v>
      </c>
      <c r="BL50" s="170" t="s">
        <v>469</v>
      </c>
      <c r="BM50" s="169">
        <v>4.0</v>
      </c>
      <c r="BN50" s="169">
        <v>2.0</v>
      </c>
      <c r="BO50" s="169">
        <v>0.0</v>
      </c>
      <c r="BP50" s="169">
        <v>0.0</v>
      </c>
      <c r="BQ50" s="130"/>
      <c r="BR50" s="169">
        <v>5.0</v>
      </c>
      <c r="BS50" s="170">
        <v>0.0</v>
      </c>
      <c r="BT50" s="170">
        <v>0.0</v>
      </c>
      <c r="BU50" s="169">
        <v>54.0</v>
      </c>
      <c r="BV50" s="170" t="s">
        <v>469</v>
      </c>
      <c r="BW50" s="130"/>
      <c r="BX50" s="170">
        <v>5.0</v>
      </c>
      <c r="BY50" s="170">
        <v>0.0</v>
      </c>
      <c r="BZ50" s="170">
        <v>0.0</v>
      </c>
      <c r="CA50" s="170">
        <v>46.0</v>
      </c>
      <c r="CB50" s="170" t="s">
        <v>469</v>
      </c>
      <c r="CC50" s="130"/>
      <c r="CD50" s="171"/>
      <c r="CE50" s="171"/>
      <c r="CF50" s="171"/>
      <c r="CG50" s="171"/>
      <c r="CH50" s="171"/>
      <c r="CI50" s="130"/>
      <c r="CJ50" s="171"/>
      <c r="CK50" s="171"/>
      <c r="CL50" s="171"/>
      <c r="CM50" s="171"/>
      <c r="CN50" s="171"/>
      <c r="CO50" s="108"/>
      <c r="CP50" s="171"/>
      <c r="CQ50" s="171"/>
      <c r="CR50" s="171"/>
      <c r="CS50" s="171"/>
      <c r="CT50" s="171"/>
      <c r="CU50" s="130"/>
      <c r="CV50" s="171"/>
      <c r="CW50" s="171"/>
      <c r="CX50" s="171"/>
      <c r="CY50" s="171"/>
      <c r="CZ50" s="171"/>
      <c r="DA50" s="130"/>
      <c r="DB50" s="171"/>
      <c r="DC50" s="171"/>
      <c r="DD50" s="171"/>
      <c r="DE50" s="171"/>
      <c r="DF50" s="171"/>
      <c r="DG50" s="130"/>
      <c r="DH50" s="171"/>
      <c r="DI50" s="171"/>
      <c r="DJ50" s="171"/>
      <c r="DK50" s="171"/>
      <c r="DL50" s="171"/>
      <c r="DM50" s="130"/>
      <c r="DN50" s="171"/>
      <c r="DO50" s="171"/>
      <c r="DP50" s="171"/>
      <c r="DQ50" s="171"/>
      <c r="DR50" s="171"/>
      <c r="DS50" s="130"/>
      <c r="DT50" s="108"/>
      <c r="DU50" s="108"/>
      <c r="DW50" s="109"/>
      <c r="DX50" s="110">
        <f t="shared" si="13"/>
        <v>5</v>
      </c>
      <c r="DY50" s="111">
        <f t="shared" ref="DY50:DZ50" si="159">sum(BS50,BY50,CE50,CK50,CQ50,CW50,DC50,DI50,DO50)</f>
        <v>0</v>
      </c>
      <c r="DZ50" s="111">
        <f t="shared" si="159"/>
        <v>0</v>
      </c>
      <c r="EA50" s="110">
        <f t="shared" si="15"/>
        <v>50</v>
      </c>
      <c r="EB50" s="99" t="str">
        <f t="shared" si="16"/>
        <v>35 - 54</v>
      </c>
      <c r="EC50" s="112"/>
      <c r="ED50" s="113">
        <f t="shared" si="17"/>
        <v>4.8</v>
      </c>
      <c r="EE50" s="114">
        <f>IF(V50 &lt;&gt; "", 1+((V50-MIN(discount_rates))*(4)/(MAX(discount_rates) - MIN(discount_rates))), "")</f>
        <v>1</v>
      </c>
      <c r="EF50" s="114" t="str">
        <f>IF(Q50="Debt", (1+((S50-MIN(interest_rates))*(4)/(MAX(interest_rates) - MIN(interest_rates)))), "")</f>
        <v/>
      </c>
      <c r="EG50" s="114" t="str">
        <f>IF(OR(Q50="Revenue Share", Q50="Profit Share"), (1+((R50-MIN(return_mutiples))*(4)/(MAX(return_mutiples) - MIN(return_mutiples)))), "")</f>
        <v/>
      </c>
      <c r="EH50" s="115">
        <f t="shared" si="18"/>
        <v>4.8</v>
      </c>
      <c r="EI50" s="116" t="str">
        <f t="shared" si="19"/>
        <v>SAFE</v>
      </c>
      <c r="EJ50" s="117">
        <f t="shared" si="20"/>
        <v>0.3561643836</v>
      </c>
      <c r="EK50" s="116" t="str">
        <f t="shared" si="21"/>
        <v>Early</v>
      </c>
      <c r="EL50" s="112"/>
      <c r="EM50" s="118">
        <f t="shared" si="22"/>
        <v>3</v>
      </c>
      <c r="EN50" s="118">
        <f t="shared" si="23"/>
        <v>2.3</v>
      </c>
      <c r="EO50" s="119">
        <f t="shared" si="24"/>
        <v>5.3</v>
      </c>
      <c r="EP50" s="115">
        <f>1+((EO50-MIN(market_ratings_sums))*(4)/(MAX(market_ratings_sums) - MIN(market_ratings_sums)))</f>
        <v>2.824561404</v>
      </c>
      <c r="EQ50" s="116" t="str">
        <f t="shared" si="25"/>
        <v>No</v>
      </c>
      <c r="ER50" s="112"/>
      <c r="ES50" s="123">
        <f>1+((DX50-MIN(industry_experiences))*(4)/(MAX(industry_experiences) - MIN(industry_experiences)))</f>
        <v>1.476190476</v>
      </c>
      <c r="ET50" s="123">
        <f>1+((DY50-MIN(previous_startups))*(4)/(MAX(previous_startups) - MIN(previous_startups)))</f>
        <v>1</v>
      </c>
      <c r="EU50" s="123">
        <f>1+((DZ50-MIN(exits))*(4)/(MAX(exits) - MIN(exits)))</f>
        <v>1</v>
      </c>
      <c r="EV50" s="119">
        <f t="shared" si="26"/>
        <v>3.476190476</v>
      </c>
      <c r="EW50" s="124">
        <f>1+((EV50-MIN(team_ratings_sums))*(4)/(MAX(team_ratings_sums) - MIN(team_ratings_sums)))</f>
        <v>1.260869565</v>
      </c>
      <c r="EX50" s="116" t="str">
        <f t="shared" si="27"/>
        <v>35 - 54</v>
      </c>
      <c r="EY50" s="125">
        <f t="shared" si="28"/>
        <v>0.6849315068</v>
      </c>
      <c r="EZ50" s="116">
        <f t="shared" si="29"/>
        <v>2</v>
      </c>
      <c r="FA50" s="125">
        <f t="shared" si="30"/>
        <v>0.4520547945</v>
      </c>
      <c r="FB50" s="116">
        <f t="shared" si="31"/>
        <v>2</v>
      </c>
      <c r="FC50" s="125">
        <f t="shared" si="32"/>
        <v>0.1369863014</v>
      </c>
      <c r="FD50" s="116" t="str">
        <f t="shared" si="33"/>
        <v>Yes</v>
      </c>
      <c r="FE50" s="125">
        <f t="shared" si="34"/>
        <v>0.2465753425</v>
      </c>
      <c r="FF50" s="116" t="str">
        <f t="shared" ref="FF50:FH50" si="160">BJ50</f>
        <v>No</v>
      </c>
      <c r="FG50" s="116" t="str">
        <f t="shared" si="160"/>
        <v>No</v>
      </c>
      <c r="FH50" s="116" t="str">
        <f t="shared" si="160"/>
        <v>No</v>
      </c>
      <c r="FI50" s="112"/>
      <c r="FJ50" s="116" t="str">
        <f t="shared" si="36"/>
        <v>Recurring</v>
      </c>
      <c r="FK50" s="125">
        <f t="shared" si="37"/>
        <v>0.397260274</v>
      </c>
      <c r="FL50" s="116" t="str">
        <f t="shared" si="38"/>
        <v>B2B</v>
      </c>
      <c r="FM50" s="125">
        <f t="shared" si="39"/>
        <v>0.2465753425</v>
      </c>
      <c r="FN50" s="116" t="str">
        <f t="shared" si="40"/>
        <v>Low</v>
      </c>
      <c r="FO50" s="125">
        <f t="shared" si="41"/>
        <v>0.4383561644</v>
      </c>
      <c r="FP50" s="116" t="str">
        <f t="shared" si="42"/>
        <v>High</v>
      </c>
      <c r="FQ50" s="125">
        <f t="shared" si="43"/>
        <v>0.6438356164</v>
      </c>
      <c r="FR50" s="112"/>
      <c r="FS50" s="123">
        <f t="shared" si="44"/>
        <v>5</v>
      </c>
      <c r="FT50" s="123">
        <f t="shared" si="45"/>
        <v>1</v>
      </c>
      <c r="FU50" s="123">
        <f t="shared" si="46"/>
        <v>5</v>
      </c>
      <c r="FV50" s="123">
        <f t="shared" si="47"/>
        <v>3.2</v>
      </c>
      <c r="FW50" s="119">
        <f t="shared" si="48"/>
        <v>14.2</v>
      </c>
      <c r="FX50" s="115">
        <f>1+((FW50-MIN(performance_ratings_sums))*(4)/(MAX(performance_ratings_sums) - MIN(performance_ratings_sums)))</f>
        <v>3.803738318</v>
      </c>
      <c r="FY50" s="116" t="str">
        <f t="shared" si="49"/>
        <v>Pre-Profit</v>
      </c>
      <c r="FZ50" s="126">
        <f t="shared" si="50"/>
        <v>0.4931506849</v>
      </c>
      <c r="GA50" s="112"/>
      <c r="GB50" s="127">
        <f t="shared" si="51"/>
        <v>3</v>
      </c>
      <c r="GC50" s="116" t="str">
        <f t="shared" si="52"/>
        <v>No</v>
      </c>
      <c r="GD50" s="126">
        <f t="shared" si="53"/>
        <v>0.7671232877</v>
      </c>
      <c r="GE50" s="126" t="str">
        <f t="shared" si="54"/>
        <v>High</v>
      </c>
      <c r="GF50" s="126">
        <f t="shared" si="55"/>
        <v>0.4520547945</v>
      </c>
      <c r="GG50" s="126" t="str">
        <f t="shared" si="56"/>
        <v>High</v>
      </c>
      <c r="GH50" s="126">
        <f t="shared" si="57"/>
        <v>0.8082191781</v>
      </c>
      <c r="GI50" s="112"/>
      <c r="GJ50" s="116"/>
      <c r="GK50" s="119">
        <f t="shared" si="58"/>
        <v>15.68916929</v>
      </c>
      <c r="GL50" s="128">
        <f>1+((GK50-MIN(ratings_sums))*(4)/(MAX(ratings_sums) - MIN(ratings_sums)))</f>
        <v>3.606660394</v>
      </c>
    </row>
    <row r="51" ht="15.75" customHeight="1">
      <c r="A51" s="176" t="s">
        <v>702</v>
      </c>
      <c r="B51" s="169">
        <v>1725162.0</v>
      </c>
      <c r="C51" s="177" t="s">
        <v>766</v>
      </c>
      <c r="D51" s="189">
        <v>43714.44513888889</v>
      </c>
      <c r="E51" s="170" t="s">
        <v>392</v>
      </c>
      <c r="F51" s="150" t="s">
        <v>767</v>
      </c>
      <c r="G51" s="150" t="s">
        <v>768</v>
      </c>
      <c r="H51" s="190">
        <v>43705.0</v>
      </c>
      <c r="I51" s="180" t="s">
        <v>769</v>
      </c>
      <c r="J51" s="180" t="s">
        <v>766</v>
      </c>
      <c r="K51" s="170" t="s">
        <v>457</v>
      </c>
      <c r="L51" s="170" t="s">
        <v>349</v>
      </c>
      <c r="M51" s="170" t="s">
        <v>31</v>
      </c>
      <c r="N51" s="170" t="s">
        <v>82</v>
      </c>
      <c r="O51" s="170" t="s">
        <v>35</v>
      </c>
      <c r="P51" s="171"/>
      <c r="Q51" s="170" t="s">
        <v>195</v>
      </c>
      <c r="R51" s="181"/>
      <c r="S51" s="182"/>
      <c r="T51" s="183"/>
      <c r="U51" s="184">
        <v>4000000.0</v>
      </c>
      <c r="V51" s="185">
        <v>0.38</v>
      </c>
      <c r="W51" s="96">
        <f t="shared" si="125"/>
        <v>2480000</v>
      </c>
      <c r="X51" s="98">
        <f t="shared" si="126"/>
        <v>2480000</v>
      </c>
      <c r="Y51" s="99" t="str">
        <f t="shared" si="127"/>
        <v>$2M - $4M</v>
      </c>
      <c r="Z51" s="170" t="s">
        <v>86</v>
      </c>
      <c r="AA51" s="170" t="s">
        <v>123</v>
      </c>
      <c r="AB51" s="170" t="s">
        <v>88</v>
      </c>
      <c r="AC51" s="170" t="s">
        <v>493</v>
      </c>
      <c r="AD51" s="170" t="s">
        <v>39</v>
      </c>
      <c r="AE51" s="170" t="s">
        <v>89</v>
      </c>
      <c r="AF51" s="170" t="s">
        <v>469</v>
      </c>
      <c r="AG51" s="184">
        <v>9.0E9</v>
      </c>
      <c r="AH51" s="97" t="str">
        <f t="shared" si="128"/>
        <v>$5B-$10B</v>
      </c>
      <c r="AI51" s="184">
        <v>9.0E9</v>
      </c>
      <c r="AJ51" s="97" t="str">
        <f t="shared" si="129"/>
        <v>$5B-$10B</v>
      </c>
      <c r="AK51" s="186">
        <v>0.025</v>
      </c>
      <c r="AL51" s="88" t="str">
        <f t="shared" si="130"/>
        <v>0%-10%</v>
      </c>
      <c r="AM51" s="169">
        <v>10.0</v>
      </c>
      <c r="AN51" s="170" t="s">
        <v>39</v>
      </c>
      <c r="AO51" s="170" t="s">
        <v>39</v>
      </c>
      <c r="AP51" s="170" t="s">
        <v>90</v>
      </c>
      <c r="AQ51" s="100" t="s">
        <v>89</v>
      </c>
      <c r="AR51" s="100" t="s">
        <v>39</v>
      </c>
      <c r="AS51" s="170" t="s">
        <v>469</v>
      </c>
      <c r="AT51" s="170" t="s">
        <v>469</v>
      </c>
      <c r="AU51" s="170" t="s">
        <v>493</v>
      </c>
      <c r="AV51" s="170" t="s">
        <v>469</v>
      </c>
      <c r="AW51" s="184">
        <v>0.0</v>
      </c>
      <c r="AX51" s="96" t="str">
        <f t="shared" si="131"/>
        <v>&lt; $10K</v>
      </c>
      <c r="AY51" s="184">
        <v>4073.0</v>
      </c>
      <c r="AZ51" s="21">
        <v>85605.0</v>
      </c>
      <c r="BA51" s="103" t="str">
        <f t="shared" si="132"/>
        <v>$50K - $100K</v>
      </c>
      <c r="BB51" s="103">
        <f t="shared" si="133"/>
        <v>0.04757899655</v>
      </c>
      <c r="BC51" s="103" t="str">
        <f t="shared" si="134"/>
        <v>&lt; 10%</v>
      </c>
      <c r="BD51" s="170" t="s">
        <v>91</v>
      </c>
      <c r="BE51" s="171"/>
      <c r="BF51" s="170" t="s">
        <v>469</v>
      </c>
      <c r="BG51" s="170">
        <v>0.0</v>
      </c>
      <c r="BH51" s="169">
        <v>1.0</v>
      </c>
      <c r="BI51" s="90" t="s">
        <v>469</v>
      </c>
      <c r="BJ51" s="170" t="s">
        <v>469</v>
      </c>
      <c r="BK51" s="170" t="s">
        <v>469</v>
      </c>
      <c r="BL51" s="170" t="s">
        <v>469</v>
      </c>
      <c r="BM51" s="169">
        <v>1.0</v>
      </c>
      <c r="BN51" s="169">
        <v>9.0</v>
      </c>
      <c r="BO51" s="169">
        <v>0.0</v>
      </c>
      <c r="BP51" s="169">
        <v>0.0</v>
      </c>
      <c r="BQ51" s="130"/>
      <c r="BR51" s="169">
        <v>4.0</v>
      </c>
      <c r="BS51" s="169">
        <v>1.0</v>
      </c>
      <c r="BT51" s="169">
        <v>0.0</v>
      </c>
      <c r="BU51" s="169">
        <v>27.0</v>
      </c>
      <c r="BV51" s="170" t="s">
        <v>469</v>
      </c>
      <c r="BW51" s="130"/>
      <c r="BX51" s="169"/>
      <c r="BY51" s="169"/>
      <c r="BZ51" s="169"/>
      <c r="CA51" s="169"/>
      <c r="CB51" s="170"/>
      <c r="CC51" s="130"/>
      <c r="CD51" s="171"/>
      <c r="CE51" s="171"/>
      <c r="CF51" s="171"/>
      <c r="CG51" s="171"/>
      <c r="CH51" s="171"/>
      <c r="CI51" s="130"/>
      <c r="CJ51" s="171"/>
      <c r="CK51" s="171"/>
      <c r="CL51" s="171"/>
      <c r="CM51" s="171"/>
      <c r="CN51" s="171"/>
      <c r="CO51" s="108"/>
      <c r="CP51" s="171"/>
      <c r="CQ51" s="171"/>
      <c r="CR51" s="171"/>
      <c r="CS51" s="171"/>
      <c r="CT51" s="171"/>
      <c r="CU51" s="130"/>
      <c r="CV51" s="171"/>
      <c r="CW51" s="171"/>
      <c r="CX51" s="171"/>
      <c r="CY51" s="171"/>
      <c r="CZ51" s="171"/>
      <c r="DA51" s="130"/>
      <c r="DB51" s="171"/>
      <c r="DC51" s="171"/>
      <c r="DD51" s="171"/>
      <c r="DE51" s="171"/>
      <c r="DF51" s="171"/>
      <c r="DG51" s="130"/>
      <c r="DH51" s="171"/>
      <c r="DI51" s="171"/>
      <c r="DJ51" s="171"/>
      <c r="DK51" s="171"/>
      <c r="DL51" s="171"/>
      <c r="DM51" s="130"/>
      <c r="DN51" s="171"/>
      <c r="DO51" s="171"/>
      <c r="DP51" s="171"/>
      <c r="DQ51" s="171"/>
      <c r="DR51" s="171"/>
      <c r="DS51" s="130"/>
      <c r="DT51" s="108"/>
      <c r="DU51" s="108"/>
      <c r="DW51" s="109"/>
      <c r="DX51" s="110">
        <f t="shared" si="13"/>
        <v>4</v>
      </c>
      <c r="DY51" s="111">
        <f t="shared" ref="DY51:DZ51" si="161">sum(BS51,BY51,CE51,CK51,CQ51,CW51,DC51,DI51,DO51)</f>
        <v>1</v>
      </c>
      <c r="DZ51" s="111">
        <f t="shared" si="161"/>
        <v>0</v>
      </c>
      <c r="EA51" s="110">
        <f t="shared" si="15"/>
        <v>27</v>
      </c>
      <c r="EB51" s="99" t="str">
        <f t="shared" si="16"/>
        <v>20 - 34</v>
      </c>
      <c r="EC51" s="112"/>
      <c r="ED51" s="113">
        <f t="shared" si="17"/>
        <v>4.6</v>
      </c>
      <c r="EE51" s="114">
        <f>IF(V51 &lt;&gt; "", 1+((V51-MIN(discount_rates))*(4)/(MAX(discount_rates) - MIN(discount_rates))), "")</f>
        <v>5</v>
      </c>
      <c r="EF51" s="114" t="str">
        <f>IF(Q51="Debt", (1+((S51-MIN(interest_rates))*(4)/(MAX(interest_rates) - MIN(interest_rates)))), "")</f>
        <v/>
      </c>
      <c r="EG51" s="114" t="str">
        <f>IF(OR(Q51="Revenue Share", Q51="Profit Share"), (1+((R51-MIN(return_mutiples))*(4)/(MAX(return_mutiples) - MIN(return_mutiples)))), "")</f>
        <v/>
      </c>
      <c r="EH51" s="115">
        <f t="shared" si="18"/>
        <v>4.6</v>
      </c>
      <c r="EI51" s="116" t="str">
        <f t="shared" si="19"/>
        <v>SAFE</v>
      </c>
      <c r="EJ51" s="117">
        <f t="shared" si="20"/>
        <v>0.3561643836</v>
      </c>
      <c r="EK51" s="116" t="str">
        <f t="shared" si="21"/>
        <v>Early</v>
      </c>
      <c r="EL51" s="112"/>
      <c r="EM51" s="118">
        <f t="shared" si="22"/>
        <v>3</v>
      </c>
      <c r="EN51" s="118">
        <f t="shared" si="23"/>
        <v>1.7</v>
      </c>
      <c r="EO51" s="119">
        <f t="shared" si="24"/>
        <v>4.7</v>
      </c>
      <c r="EP51" s="115">
        <f>1+((EO51-MIN(market_ratings_sums))*(4)/(MAX(market_ratings_sums) - MIN(market_ratings_sums)))</f>
        <v>2.403508772</v>
      </c>
      <c r="EQ51" s="116" t="str">
        <f t="shared" si="25"/>
        <v>No</v>
      </c>
      <c r="ER51" s="112"/>
      <c r="ES51" s="123">
        <f>1+((DX51-MIN(industry_experiences))*(4)/(MAX(industry_experiences) - MIN(industry_experiences)))</f>
        <v>1.380952381</v>
      </c>
      <c r="ET51" s="123">
        <f>1+((DY51-MIN(previous_startups))*(4)/(MAX(previous_startups) - MIN(previous_startups)))</f>
        <v>1.444444444</v>
      </c>
      <c r="EU51" s="123">
        <f>1+((DZ51-MIN(exits))*(4)/(MAX(exits) - MIN(exits)))</f>
        <v>1</v>
      </c>
      <c r="EV51" s="119">
        <f t="shared" si="26"/>
        <v>3.825396825</v>
      </c>
      <c r="EW51" s="124">
        <f>1+((EV51-MIN(team_ratings_sums))*(4)/(MAX(team_ratings_sums) - MIN(team_ratings_sums)))</f>
        <v>1.452173913</v>
      </c>
      <c r="EX51" s="116" t="str">
        <f t="shared" si="27"/>
        <v>20 - 34</v>
      </c>
      <c r="EY51" s="125">
        <f t="shared" si="28"/>
        <v>0.2054794521</v>
      </c>
      <c r="EZ51" s="116">
        <f t="shared" si="29"/>
        <v>1</v>
      </c>
      <c r="FA51" s="125">
        <f t="shared" si="30"/>
        <v>0.4383561644</v>
      </c>
      <c r="FB51" s="116">
        <f t="shared" si="31"/>
        <v>9</v>
      </c>
      <c r="FC51" s="125">
        <f t="shared" si="32"/>
        <v>0.05479452055</v>
      </c>
      <c r="FD51" s="116" t="str">
        <f t="shared" si="33"/>
        <v>No</v>
      </c>
      <c r="FE51" s="125">
        <f t="shared" si="34"/>
        <v>0.7534246575</v>
      </c>
      <c r="FF51" s="116" t="str">
        <f t="shared" ref="FF51:FH51" si="162">BJ51</f>
        <v>No</v>
      </c>
      <c r="FG51" s="116" t="str">
        <f t="shared" si="162"/>
        <v>No</v>
      </c>
      <c r="FH51" s="116" t="str">
        <f t="shared" si="162"/>
        <v>No</v>
      </c>
      <c r="FI51" s="112"/>
      <c r="FJ51" s="116" t="str">
        <f t="shared" si="36"/>
        <v>Recurring</v>
      </c>
      <c r="FK51" s="125">
        <f t="shared" si="37"/>
        <v>0.397260274</v>
      </c>
      <c r="FL51" s="116" t="str">
        <f t="shared" si="38"/>
        <v>B2B/B2C</v>
      </c>
      <c r="FM51" s="125">
        <f t="shared" si="39"/>
        <v>0.3287671233</v>
      </c>
      <c r="FN51" s="116" t="str">
        <f t="shared" si="40"/>
        <v>High</v>
      </c>
      <c r="FO51" s="125">
        <f t="shared" si="41"/>
        <v>0.5616438356</v>
      </c>
      <c r="FP51" s="116" t="str">
        <f t="shared" si="42"/>
        <v>Low</v>
      </c>
      <c r="FQ51" s="125">
        <f t="shared" si="43"/>
        <v>0.3561643836</v>
      </c>
      <c r="FR51" s="112"/>
      <c r="FS51" s="123">
        <f t="shared" si="44"/>
        <v>3</v>
      </c>
      <c r="FT51" s="123">
        <f t="shared" si="45"/>
        <v>1</v>
      </c>
      <c r="FU51" s="123">
        <f t="shared" si="46"/>
        <v>5</v>
      </c>
      <c r="FV51" s="123">
        <f t="shared" si="47"/>
        <v>4.1</v>
      </c>
      <c r="FW51" s="119">
        <f t="shared" si="48"/>
        <v>13.1</v>
      </c>
      <c r="FX51" s="115">
        <f>1+((FW51-MIN(performance_ratings_sums))*(4)/(MAX(performance_ratings_sums) - MIN(performance_ratings_sums)))</f>
        <v>3.392523364</v>
      </c>
      <c r="FY51" s="116" t="str">
        <f t="shared" si="49"/>
        <v>Pre-Revenue</v>
      </c>
      <c r="FZ51" s="126">
        <f t="shared" si="50"/>
        <v>0.2054794521</v>
      </c>
      <c r="GA51" s="112"/>
      <c r="GB51" s="127">
        <f t="shared" si="51"/>
        <v>5</v>
      </c>
      <c r="GC51" s="116" t="str">
        <f t="shared" si="52"/>
        <v>No</v>
      </c>
      <c r="GD51" s="126">
        <f t="shared" si="53"/>
        <v>0.7671232877</v>
      </c>
      <c r="GE51" s="126" t="str">
        <f t="shared" si="54"/>
        <v>Low</v>
      </c>
      <c r="GF51" s="126">
        <f t="shared" si="55"/>
        <v>0.5479452055</v>
      </c>
      <c r="GG51" s="126" t="str">
        <f t="shared" si="56"/>
        <v>High</v>
      </c>
      <c r="GH51" s="126">
        <f t="shared" si="57"/>
        <v>0.8082191781</v>
      </c>
      <c r="GI51" s="112"/>
      <c r="GJ51" s="116"/>
      <c r="GK51" s="119">
        <f t="shared" si="58"/>
        <v>16.84820605</v>
      </c>
      <c r="GL51" s="128">
        <f>1+((GK51-MIN(ratings_sums))*(4)/(MAX(ratings_sums) - MIN(ratings_sums)))</f>
        <v>3.962299197</v>
      </c>
    </row>
    <row r="52" ht="15.75" customHeight="1">
      <c r="A52" s="176" t="s">
        <v>702</v>
      </c>
      <c r="B52" s="169">
        <v>1783629.0</v>
      </c>
      <c r="C52" s="177" t="s">
        <v>770</v>
      </c>
      <c r="D52" s="178">
        <v>43718.39375</v>
      </c>
      <c r="E52" s="170" t="s">
        <v>392</v>
      </c>
      <c r="F52" s="150" t="s">
        <v>771</v>
      </c>
      <c r="G52" s="150" t="s">
        <v>772</v>
      </c>
      <c r="H52" s="179">
        <v>43671.0</v>
      </c>
      <c r="I52" s="180" t="s">
        <v>773</v>
      </c>
      <c r="J52" s="180" t="s">
        <v>774</v>
      </c>
      <c r="K52" s="170" t="s">
        <v>534</v>
      </c>
      <c r="L52" s="170" t="s">
        <v>390</v>
      </c>
      <c r="M52" s="170" t="s">
        <v>31</v>
      </c>
      <c r="N52" s="170" t="s">
        <v>82</v>
      </c>
      <c r="O52" s="170" t="s">
        <v>35</v>
      </c>
      <c r="P52" s="171"/>
      <c r="Q52" s="170" t="s">
        <v>195</v>
      </c>
      <c r="R52" s="181"/>
      <c r="S52" s="182"/>
      <c r="T52" s="183"/>
      <c r="U52" s="184">
        <v>2000000.0</v>
      </c>
      <c r="V52" s="185">
        <v>0.25</v>
      </c>
      <c r="W52" s="96">
        <f t="shared" si="125"/>
        <v>1500000</v>
      </c>
      <c r="X52" s="98">
        <f t="shared" si="126"/>
        <v>1500000</v>
      </c>
      <c r="Y52" s="99" t="str">
        <f t="shared" si="127"/>
        <v>$1M - $2M</v>
      </c>
      <c r="Z52" s="170" t="s">
        <v>36</v>
      </c>
      <c r="AA52" s="170" t="s">
        <v>87</v>
      </c>
      <c r="AB52" s="170" t="s">
        <v>38</v>
      </c>
      <c r="AC52" s="170" t="s">
        <v>469</v>
      </c>
      <c r="AD52" s="170" t="s">
        <v>89</v>
      </c>
      <c r="AE52" s="170" t="s">
        <v>39</v>
      </c>
      <c r="AF52" s="170" t="s">
        <v>469</v>
      </c>
      <c r="AG52" s="184">
        <v>7.1E9</v>
      </c>
      <c r="AH52" s="97" t="str">
        <f t="shared" si="128"/>
        <v>$5B-$10B</v>
      </c>
      <c r="AI52" s="184">
        <v>2.13E9</v>
      </c>
      <c r="AJ52" s="97" t="str">
        <f t="shared" si="129"/>
        <v>$1B-$5B</v>
      </c>
      <c r="AK52" s="186">
        <v>0.077</v>
      </c>
      <c r="AL52" s="88" t="str">
        <f t="shared" si="130"/>
        <v>0%-10%</v>
      </c>
      <c r="AM52" s="169">
        <v>25.0</v>
      </c>
      <c r="AN52" s="170" t="s">
        <v>89</v>
      </c>
      <c r="AO52" s="170" t="s">
        <v>89</v>
      </c>
      <c r="AP52" s="170" t="s">
        <v>40</v>
      </c>
      <c r="AQ52" s="100" t="s">
        <v>89</v>
      </c>
      <c r="AR52" s="100" t="s">
        <v>39</v>
      </c>
      <c r="AS52" s="170" t="s">
        <v>493</v>
      </c>
      <c r="AT52" s="170" t="s">
        <v>469</v>
      </c>
      <c r="AU52" s="170" t="s">
        <v>469</v>
      </c>
      <c r="AV52" s="170" t="s">
        <v>469</v>
      </c>
      <c r="AW52" s="184">
        <v>0.0</v>
      </c>
      <c r="AX52" s="96" t="str">
        <f t="shared" si="131"/>
        <v>&lt; $10K</v>
      </c>
      <c r="AY52" s="184">
        <v>235.0</v>
      </c>
      <c r="AZ52" s="21">
        <v>15000.0</v>
      </c>
      <c r="BA52" s="103" t="str">
        <f t="shared" si="132"/>
        <v>$10K - $50K</v>
      </c>
      <c r="BB52" s="103">
        <f t="shared" si="133"/>
        <v>0.01566666667</v>
      </c>
      <c r="BC52" s="103" t="str">
        <f t="shared" si="134"/>
        <v>&lt; 10%</v>
      </c>
      <c r="BD52" s="170" t="s">
        <v>41</v>
      </c>
      <c r="BE52" s="171"/>
      <c r="BF52" s="170" t="s">
        <v>469</v>
      </c>
      <c r="BG52" s="170">
        <v>0.0</v>
      </c>
      <c r="BH52" s="169">
        <v>1.0</v>
      </c>
      <c r="BI52" s="90" t="s">
        <v>469</v>
      </c>
      <c r="BJ52" s="170" t="s">
        <v>469</v>
      </c>
      <c r="BK52" s="170" t="s">
        <v>469</v>
      </c>
      <c r="BL52" s="170" t="s">
        <v>469</v>
      </c>
      <c r="BM52" s="169">
        <v>2.0</v>
      </c>
      <c r="BN52" s="169">
        <v>1.0</v>
      </c>
      <c r="BO52" s="169">
        <v>2.0</v>
      </c>
      <c r="BP52" s="169">
        <v>0.0</v>
      </c>
      <c r="BQ52" s="130"/>
      <c r="BR52" s="191">
        <v>0.0</v>
      </c>
      <c r="BS52" s="191">
        <v>0.0</v>
      </c>
      <c r="BT52" s="191">
        <v>0.0</v>
      </c>
      <c r="BU52" s="191">
        <v>44.0</v>
      </c>
      <c r="BV52" s="175" t="s">
        <v>493</v>
      </c>
      <c r="BW52" s="130"/>
      <c r="BX52" s="171"/>
      <c r="BY52" s="171"/>
      <c r="BZ52" s="171"/>
      <c r="CA52" s="171"/>
      <c r="CB52" s="171"/>
      <c r="CC52" s="130"/>
      <c r="CD52" s="171"/>
      <c r="CE52" s="171"/>
      <c r="CF52" s="171"/>
      <c r="CG52" s="171"/>
      <c r="CH52" s="171"/>
      <c r="CI52" s="130"/>
      <c r="CJ52" s="171"/>
      <c r="CK52" s="171"/>
      <c r="CL52" s="171"/>
      <c r="CM52" s="171"/>
      <c r="CN52" s="171"/>
      <c r="CO52" s="108"/>
      <c r="CP52" s="172"/>
      <c r="CQ52" s="172"/>
      <c r="CR52" s="172"/>
      <c r="CS52" s="172"/>
      <c r="CT52" s="171"/>
      <c r="CU52" s="130"/>
      <c r="CV52" s="172"/>
      <c r="CW52" s="172"/>
      <c r="CX52" s="172"/>
      <c r="CY52" s="172"/>
      <c r="CZ52" s="171"/>
      <c r="DA52" s="130"/>
      <c r="DB52" s="172"/>
      <c r="DC52" s="172"/>
      <c r="DD52" s="172"/>
      <c r="DE52" s="172"/>
      <c r="DF52" s="171"/>
      <c r="DG52" s="130"/>
      <c r="DH52" s="172"/>
      <c r="DI52" s="172"/>
      <c r="DJ52" s="172"/>
      <c r="DK52" s="172"/>
      <c r="DL52" s="171"/>
      <c r="DM52" s="130"/>
      <c r="DN52" s="172"/>
      <c r="DO52" s="172"/>
      <c r="DP52" s="172"/>
      <c r="DQ52" s="172"/>
      <c r="DR52" s="171"/>
      <c r="DS52" s="130"/>
      <c r="DT52" s="108"/>
      <c r="DU52" s="108"/>
      <c r="DW52" s="109"/>
      <c r="DX52" s="110">
        <f t="shared" si="13"/>
        <v>0</v>
      </c>
      <c r="DY52" s="111">
        <f t="shared" ref="DY52:DZ52" si="163">sum(BS52,BY52,CE52,CK52,CQ52,CW52,DC52,DI52,DO52)</f>
        <v>0</v>
      </c>
      <c r="DZ52" s="111">
        <f t="shared" si="163"/>
        <v>0</v>
      </c>
      <c r="EA52" s="110">
        <f t="shared" si="15"/>
        <v>44</v>
      </c>
      <c r="EB52" s="99" t="str">
        <f t="shared" si="16"/>
        <v>35 - 54</v>
      </c>
      <c r="EC52" s="112"/>
      <c r="ED52" s="113">
        <f t="shared" si="17"/>
        <v>4.8</v>
      </c>
      <c r="EE52" s="114">
        <f>IF(V52 &lt;&gt; "", 1+((V52-MIN(discount_rates))*(4)/(MAX(discount_rates) - MIN(discount_rates))), "")</f>
        <v>3.631578947</v>
      </c>
      <c r="EF52" s="114" t="str">
        <f>IF(Q52="Debt", (1+((S52-MIN(interest_rates))*(4)/(MAX(interest_rates) - MIN(interest_rates)))), "")</f>
        <v/>
      </c>
      <c r="EG52" s="114" t="str">
        <f>IF(OR(Q52="Revenue Share", Q52="Profit Share"), (1+((R52-MIN(return_mutiples))*(4)/(MAX(return_mutiples) - MIN(return_mutiples)))), "")</f>
        <v/>
      </c>
      <c r="EH52" s="115">
        <f t="shared" si="18"/>
        <v>4.8</v>
      </c>
      <c r="EI52" s="116" t="str">
        <f t="shared" si="19"/>
        <v>SAFE</v>
      </c>
      <c r="EJ52" s="117">
        <f t="shared" si="20"/>
        <v>0.3561643836</v>
      </c>
      <c r="EK52" s="116" t="str">
        <f t="shared" si="21"/>
        <v>Early</v>
      </c>
      <c r="EL52" s="112"/>
      <c r="EM52" s="118">
        <f t="shared" si="22"/>
        <v>2.7</v>
      </c>
      <c r="EN52" s="118">
        <f t="shared" si="23"/>
        <v>1.7</v>
      </c>
      <c r="EO52" s="119">
        <f t="shared" si="24"/>
        <v>4.4</v>
      </c>
      <c r="EP52" s="115">
        <f>1+((EO52-MIN(market_ratings_sums))*(4)/(MAX(market_ratings_sums) - MIN(market_ratings_sums)))</f>
        <v>2.192982456</v>
      </c>
      <c r="EQ52" s="116" t="str">
        <f t="shared" si="25"/>
        <v>Yes</v>
      </c>
      <c r="ER52" s="112"/>
      <c r="ES52" s="123">
        <f>1+((DX52-MIN(industry_experiences))*(4)/(MAX(industry_experiences) - MIN(industry_experiences)))</f>
        <v>1</v>
      </c>
      <c r="ET52" s="123">
        <f>1+((DY52-MIN(previous_startups))*(4)/(MAX(previous_startups) - MIN(previous_startups)))</f>
        <v>1</v>
      </c>
      <c r="EU52" s="123">
        <f>1+((DZ52-MIN(exits))*(4)/(MAX(exits) - MIN(exits)))</f>
        <v>1</v>
      </c>
      <c r="EV52" s="119">
        <f t="shared" si="26"/>
        <v>3</v>
      </c>
      <c r="EW52" s="124">
        <f>1+((EV52-MIN(team_ratings_sums))*(4)/(MAX(team_ratings_sums) - MIN(team_ratings_sums)))</f>
        <v>1</v>
      </c>
      <c r="EX52" s="116" t="str">
        <f t="shared" si="27"/>
        <v>35 - 54</v>
      </c>
      <c r="EY52" s="125">
        <f t="shared" si="28"/>
        <v>0.6849315068</v>
      </c>
      <c r="EZ52" s="116">
        <f t="shared" si="29"/>
        <v>1</v>
      </c>
      <c r="FA52" s="125">
        <f t="shared" si="30"/>
        <v>0.4383561644</v>
      </c>
      <c r="FB52" s="116">
        <f t="shared" si="31"/>
        <v>1</v>
      </c>
      <c r="FC52" s="125">
        <f t="shared" si="32"/>
        <v>0.08219178082</v>
      </c>
      <c r="FD52" s="116" t="str">
        <f t="shared" si="33"/>
        <v>No</v>
      </c>
      <c r="FE52" s="125">
        <f t="shared" si="34"/>
        <v>0.7534246575</v>
      </c>
      <c r="FF52" s="116" t="str">
        <f t="shared" ref="FF52:FH52" si="164">BJ52</f>
        <v>No</v>
      </c>
      <c r="FG52" s="116" t="str">
        <f t="shared" si="164"/>
        <v>No</v>
      </c>
      <c r="FH52" s="116" t="str">
        <f t="shared" si="164"/>
        <v>No</v>
      </c>
      <c r="FI52" s="112"/>
      <c r="FJ52" s="116" t="str">
        <f t="shared" si="36"/>
        <v>Transactional</v>
      </c>
      <c r="FK52" s="125">
        <f t="shared" si="37"/>
        <v>0.602739726</v>
      </c>
      <c r="FL52" s="116" t="str">
        <f t="shared" si="38"/>
        <v>B2C</v>
      </c>
      <c r="FM52" s="125">
        <f t="shared" si="39"/>
        <v>0.397260274</v>
      </c>
      <c r="FN52" s="116" t="str">
        <f t="shared" si="40"/>
        <v>Low</v>
      </c>
      <c r="FO52" s="125">
        <f t="shared" si="41"/>
        <v>0.4383561644</v>
      </c>
      <c r="FP52" s="116" t="str">
        <f t="shared" si="42"/>
        <v>High</v>
      </c>
      <c r="FQ52" s="125">
        <f t="shared" si="43"/>
        <v>0.6438356164</v>
      </c>
      <c r="FR52" s="112"/>
      <c r="FS52" s="123">
        <f t="shared" si="44"/>
        <v>1</v>
      </c>
      <c r="FT52" s="123">
        <f t="shared" si="45"/>
        <v>1</v>
      </c>
      <c r="FU52" s="123">
        <f t="shared" si="46"/>
        <v>5</v>
      </c>
      <c r="FV52" s="123">
        <f t="shared" si="47"/>
        <v>4.6</v>
      </c>
      <c r="FW52" s="119">
        <f t="shared" si="48"/>
        <v>11.6</v>
      </c>
      <c r="FX52" s="115">
        <f>1+((FW52-MIN(performance_ratings_sums))*(4)/(MAX(performance_ratings_sums) - MIN(performance_ratings_sums)))</f>
        <v>2.831775701</v>
      </c>
      <c r="FY52" s="116" t="str">
        <f t="shared" si="49"/>
        <v>Pre-Product</v>
      </c>
      <c r="FZ52" s="126">
        <f t="shared" si="50"/>
        <v>0.2328767123</v>
      </c>
      <c r="GA52" s="112"/>
      <c r="GB52" s="127">
        <f t="shared" si="51"/>
        <v>1</v>
      </c>
      <c r="GC52" s="116" t="str">
        <f t="shared" si="52"/>
        <v>No</v>
      </c>
      <c r="GD52" s="126">
        <f t="shared" si="53"/>
        <v>0.7671232877</v>
      </c>
      <c r="GE52" s="126" t="str">
        <f t="shared" si="54"/>
        <v>Low</v>
      </c>
      <c r="GF52" s="126">
        <f t="shared" si="55"/>
        <v>0.5479452055</v>
      </c>
      <c r="GG52" s="126" t="str">
        <f t="shared" si="56"/>
        <v>High</v>
      </c>
      <c r="GH52" s="126">
        <f t="shared" si="57"/>
        <v>0.8082191781</v>
      </c>
      <c r="GI52" s="112"/>
      <c r="GJ52" s="116"/>
      <c r="GK52" s="119">
        <f t="shared" si="58"/>
        <v>11.82475816</v>
      </c>
      <c r="GL52" s="128">
        <f>1+((GK52-MIN(ratings_sums))*(4)/(MAX(ratings_sums) - MIN(ratings_sums)))</f>
        <v>2.420904609</v>
      </c>
    </row>
    <row r="53" ht="15.75" customHeight="1">
      <c r="A53" s="176" t="s">
        <v>702</v>
      </c>
      <c r="B53" s="169">
        <v>1785480.0</v>
      </c>
      <c r="C53" s="177" t="s">
        <v>775</v>
      </c>
      <c r="D53" s="178">
        <v>43719.427083333336</v>
      </c>
      <c r="E53" s="170" t="s">
        <v>392</v>
      </c>
      <c r="F53" s="150" t="s">
        <v>776</v>
      </c>
      <c r="G53" s="150" t="s">
        <v>777</v>
      </c>
      <c r="H53" s="179">
        <v>43699.0</v>
      </c>
      <c r="I53" s="180" t="s">
        <v>778</v>
      </c>
      <c r="J53" s="180" t="s">
        <v>775</v>
      </c>
      <c r="K53" s="170" t="s">
        <v>448</v>
      </c>
      <c r="L53" s="170" t="s">
        <v>390</v>
      </c>
      <c r="M53" s="170" t="s">
        <v>81</v>
      </c>
      <c r="N53" s="170" t="s">
        <v>82</v>
      </c>
      <c r="O53" s="170" t="s">
        <v>35</v>
      </c>
      <c r="P53" s="171"/>
      <c r="Q53" s="170" t="s">
        <v>195</v>
      </c>
      <c r="R53" s="181"/>
      <c r="S53" s="182"/>
      <c r="T53" s="183"/>
      <c r="U53" s="184">
        <v>2500000.0</v>
      </c>
      <c r="V53" s="185">
        <v>0.0</v>
      </c>
      <c r="W53" s="96">
        <f t="shared" si="125"/>
        <v>2500000</v>
      </c>
      <c r="X53" s="98">
        <f t="shared" si="126"/>
        <v>2500000</v>
      </c>
      <c r="Y53" s="99" t="str">
        <f t="shared" si="127"/>
        <v>$2M - $4M</v>
      </c>
      <c r="Z53" s="170" t="s">
        <v>36</v>
      </c>
      <c r="AA53" s="170" t="s">
        <v>123</v>
      </c>
      <c r="AB53" s="170" t="s">
        <v>38</v>
      </c>
      <c r="AC53" s="170" t="s">
        <v>469</v>
      </c>
      <c r="AD53" s="170" t="s">
        <v>39</v>
      </c>
      <c r="AE53" s="170" t="s">
        <v>39</v>
      </c>
      <c r="AF53" s="11" t="s">
        <v>469</v>
      </c>
      <c r="AG53" s="184">
        <v>2.8503E10</v>
      </c>
      <c r="AH53" s="97" t="str">
        <f t="shared" si="128"/>
        <v>$25B-$50B</v>
      </c>
      <c r="AI53" s="184">
        <v>7.0E7</v>
      </c>
      <c r="AJ53" s="97" t="str">
        <f t="shared" si="129"/>
        <v>$50M-$100M</v>
      </c>
      <c r="AK53" s="186">
        <v>0.019</v>
      </c>
      <c r="AL53" s="88" t="str">
        <f t="shared" si="130"/>
        <v>0%-10%</v>
      </c>
      <c r="AM53" s="169">
        <v>100.0</v>
      </c>
      <c r="AN53" s="170" t="s">
        <v>89</v>
      </c>
      <c r="AO53" s="170" t="s">
        <v>89</v>
      </c>
      <c r="AP53" s="170" t="s">
        <v>40</v>
      </c>
      <c r="AQ53" s="100" t="s">
        <v>89</v>
      </c>
      <c r="AR53" s="100" t="s">
        <v>39</v>
      </c>
      <c r="AS53" s="170" t="s">
        <v>469</v>
      </c>
      <c r="AT53" s="170" t="s">
        <v>469</v>
      </c>
      <c r="AU53" s="170" t="s">
        <v>493</v>
      </c>
      <c r="AV53" s="170" t="s">
        <v>493</v>
      </c>
      <c r="AW53" s="184">
        <v>317558.0</v>
      </c>
      <c r="AX53" s="96" t="str">
        <f t="shared" si="131"/>
        <v>$100K - $500K</v>
      </c>
      <c r="AY53" s="184">
        <v>2722.0</v>
      </c>
      <c r="AZ53" s="21">
        <v>0.0</v>
      </c>
      <c r="BA53" s="103" t="str">
        <f t="shared" si="132"/>
        <v>&lt; $10K</v>
      </c>
      <c r="BB53" s="103">
        <f t="shared" si="133"/>
        <v>1</v>
      </c>
      <c r="BC53" s="103" t="str">
        <f t="shared" si="134"/>
        <v>90% - 100%</v>
      </c>
      <c r="BD53" s="170" t="s">
        <v>107</v>
      </c>
      <c r="BE53" s="171"/>
      <c r="BF53" s="170" t="s">
        <v>469</v>
      </c>
      <c r="BG53" s="170">
        <v>0.0</v>
      </c>
      <c r="BH53" s="169">
        <v>2.0</v>
      </c>
      <c r="BI53" s="170" t="s">
        <v>469</v>
      </c>
      <c r="BJ53" s="170" t="s">
        <v>493</v>
      </c>
      <c r="BK53" s="170" t="s">
        <v>493</v>
      </c>
      <c r="BL53" s="170" t="s">
        <v>469</v>
      </c>
      <c r="BM53" s="170">
        <v>4.0</v>
      </c>
      <c r="BN53" s="169">
        <v>3.0</v>
      </c>
      <c r="BO53" s="169">
        <v>0.0</v>
      </c>
      <c r="BP53" s="169">
        <v>0.0</v>
      </c>
      <c r="BQ53" s="130"/>
      <c r="BR53" s="191">
        <v>6.0</v>
      </c>
      <c r="BS53" s="191">
        <v>0.0</v>
      </c>
      <c r="BT53" s="191">
        <v>0.0</v>
      </c>
      <c r="BU53" s="191">
        <v>41.0</v>
      </c>
      <c r="BV53" s="175" t="s">
        <v>469</v>
      </c>
      <c r="BW53" s="130"/>
      <c r="BX53" s="191">
        <v>6.0</v>
      </c>
      <c r="BY53" s="191">
        <v>2.0</v>
      </c>
      <c r="BZ53" s="191">
        <v>1.0</v>
      </c>
      <c r="CA53" s="191">
        <v>48.0</v>
      </c>
      <c r="CB53" s="175" t="s">
        <v>493</v>
      </c>
      <c r="CC53" s="130"/>
      <c r="CD53" s="191"/>
      <c r="CE53" s="191"/>
      <c r="CF53" s="191"/>
      <c r="CG53" s="191"/>
      <c r="CH53" s="175"/>
      <c r="CI53" s="130"/>
      <c r="CJ53" s="191"/>
      <c r="CK53" s="191"/>
      <c r="CL53" s="191"/>
      <c r="CM53" s="191"/>
      <c r="CN53" s="175"/>
      <c r="CO53" s="108"/>
      <c r="CP53" s="171"/>
      <c r="CQ53" s="171"/>
      <c r="CR53" s="171"/>
      <c r="CS53" s="171"/>
      <c r="CT53" s="171"/>
      <c r="CU53" s="130"/>
      <c r="CV53" s="171"/>
      <c r="CW53" s="171"/>
      <c r="CX53" s="171"/>
      <c r="CY53" s="171"/>
      <c r="CZ53" s="171"/>
      <c r="DA53" s="130"/>
      <c r="DB53" s="171"/>
      <c r="DC53" s="171"/>
      <c r="DD53" s="171"/>
      <c r="DE53" s="171"/>
      <c r="DF53" s="171"/>
      <c r="DG53" s="130"/>
      <c r="DH53" s="171"/>
      <c r="DI53" s="171"/>
      <c r="DJ53" s="171"/>
      <c r="DK53" s="171"/>
      <c r="DL53" s="171"/>
      <c r="DM53" s="130"/>
      <c r="DN53" s="171"/>
      <c r="DO53" s="171"/>
      <c r="DP53" s="171"/>
      <c r="DQ53" s="171"/>
      <c r="DR53" s="171"/>
      <c r="DS53" s="130"/>
      <c r="DT53" s="108"/>
      <c r="DU53" s="108"/>
      <c r="DW53" s="109"/>
      <c r="DX53" s="110">
        <f t="shared" si="13"/>
        <v>6</v>
      </c>
      <c r="DY53" s="111">
        <f t="shared" ref="DY53:DZ53" si="165">sum(BS53,BY53,CE53,CK53,CQ53,CW53,DC53,DI53,DO53)</f>
        <v>2</v>
      </c>
      <c r="DZ53" s="111">
        <f t="shared" si="165"/>
        <v>1</v>
      </c>
      <c r="EA53" s="110">
        <f t="shared" si="15"/>
        <v>44.5</v>
      </c>
      <c r="EB53" s="99" t="str">
        <f t="shared" si="16"/>
        <v>35 - 54</v>
      </c>
      <c r="EC53" s="112"/>
      <c r="ED53" s="113">
        <f t="shared" si="17"/>
        <v>4.6</v>
      </c>
      <c r="EE53" s="114">
        <f>IF(V53 &lt;&gt; "", 1+((V53-MIN(discount_rates))*(4)/(MAX(discount_rates) - MIN(discount_rates))), "")</f>
        <v>1</v>
      </c>
      <c r="EF53" s="114" t="str">
        <f>IF(Q53="Debt", (1+((S53-MIN(interest_rates))*(4)/(MAX(interest_rates) - MIN(interest_rates)))), "")</f>
        <v/>
      </c>
      <c r="EG53" s="114" t="str">
        <f>IF(OR(Q53="Revenue Share", Q53="Profit Share"), (1+((R53-MIN(return_mutiples))*(4)/(MAX(return_mutiples) - MIN(return_mutiples)))), "")</f>
        <v/>
      </c>
      <c r="EH53" s="115">
        <f t="shared" si="18"/>
        <v>4.6</v>
      </c>
      <c r="EI53" s="116" t="str">
        <f t="shared" si="19"/>
        <v>SAFE</v>
      </c>
      <c r="EJ53" s="117">
        <f t="shared" si="20"/>
        <v>0.3561643836</v>
      </c>
      <c r="EK53" s="116" t="str">
        <f t="shared" si="21"/>
        <v>Growth</v>
      </c>
      <c r="EL53" s="112"/>
      <c r="EM53" s="118">
        <f t="shared" si="22"/>
        <v>1.6</v>
      </c>
      <c r="EN53" s="118">
        <f t="shared" si="23"/>
        <v>1.7</v>
      </c>
      <c r="EO53" s="119">
        <f t="shared" si="24"/>
        <v>3.3</v>
      </c>
      <c r="EP53" s="115">
        <f>1+((EO53-MIN(market_ratings_sums))*(4)/(MAX(market_ratings_sums) - MIN(market_ratings_sums)))</f>
        <v>1.421052632</v>
      </c>
      <c r="EQ53" s="116" t="str">
        <f t="shared" si="25"/>
        <v>No</v>
      </c>
      <c r="ER53" s="112"/>
      <c r="ES53" s="123">
        <f>1+((DX53-MIN(industry_experiences))*(4)/(MAX(industry_experiences) - MIN(industry_experiences)))</f>
        <v>1.571428571</v>
      </c>
      <c r="ET53" s="123">
        <f>1+((DY53-MIN(previous_startups))*(4)/(MAX(previous_startups) - MIN(previous_startups)))</f>
        <v>1.888888889</v>
      </c>
      <c r="EU53" s="123">
        <f>1+((DZ53-MIN(exits))*(4)/(MAX(exits) - MIN(exits)))</f>
        <v>2</v>
      </c>
      <c r="EV53" s="119">
        <f t="shared" si="26"/>
        <v>5.46031746</v>
      </c>
      <c r="EW53" s="124">
        <f>1+((EV53-MIN(team_ratings_sums))*(4)/(MAX(team_ratings_sums) - MIN(team_ratings_sums)))</f>
        <v>2.347826087</v>
      </c>
      <c r="EX53" s="116" t="str">
        <f t="shared" si="27"/>
        <v>35 - 54</v>
      </c>
      <c r="EY53" s="125">
        <f t="shared" si="28"/>
        <v>0.6849315068</v>
      </c>
      <c r="EZ53" s="116">
        <f t="shared" si="29"/>
        <v>2</v>
      </c>
      <c r="FA53" s="125">
        <f t="shared" si="30"/>
        <v>0.4520547945</v>
      </c>
      <c r="FB53" s="116">
        <f t="shared" si="31"/>
        <v>3</v>
      </c>
      <c r="FC53" s="125">
        <f t="shared" si="32"/>
        <v>0.08219178082</v>
      </c>
      <c r="FD53" s="116" t="str">
        <f t="shared" si="33"/>
        <v>No</v>
      </c>
      <c r="FE53" s="125">
        <f t="shared" si="34"/>
        <v>0.7534246575</v>
      </c>
      <c r="FF53" s="116" t="str">
        <f t="shared" ref="FF53:FH53" si="166">BJ53</f>
        <v>Yes</v>
      </c>
      <c r="FG53" s="116" t="str">
        <f t="shared" si="166"/>
        <v>Yes</v>
      </c>
      <c r="FH53" s="116" t="str">
        <f t="shared" si="166"/>
        <v>No</v>
      </c>
      <c r="FI53" s="112"/>
      <c r="FJ53" s="116" t="str">
        <f t="shared" si="36"/>
        <v>Transactional</v>
      </c>
      <c r="FK53" s="125">
        <f t="shared" si="37"/>
        <v>0.602739726</v>
      </c>
      <c r="FL53" s="116" t="str">
        <f t="shared" si="38"/>
        <v>B2B/B2C</v>
      </c>
      <c r="FM53" s="125">
        <f t="shared" si="39"/>
        <v>0.3287671233</v>
      </c>
      <c r="FN53" s="116" t="str">
        <f t="shared" si="40"/>
        <v>High</v>
      </c>
      <c r="FO53" s="125">
        <f t="shared" si="41"/>
        <v>0.5616438356</v>
      </c>
      <c r="FP53" s="116" t="str">
        <f t="shared" si="42"/>
        <v>High</v>
      </c>
      <c r="FQ53" s="125">
        <f t="shared" si="43"/>
        <v>0.6438356164</v>
      </c>
      <c r="FR53" s="112"/>
      <c r="FS53" s="123">
        <f t="shared" si="44"/>
        <v>5</v>
      </c>
      <c r="FT53" s="123">
        <f t="shared" si="45"/>
        <v>2.3</v>
      </c>
      <c r="FU53" s="123">
        <f t="shared" si="46"/>
        <v>1</v>
      </c>
      <c r="FV53" s="123">
        <f t="shared" si="47"/>
        <v>5</v>
      </c>
      <c r="FW53" s="119">
        <f t="shared" si="48"/>
        <v>13.3</v>
      </c>
      <c r="FX53" s="115">
        <f>1+((FW53-MIN(performance_ratings_sums))*(4)/(MAX(performance_ratings_sums) - MIN(performance_ratings_sums)))</f>
        <v>3.46728972</v>
      </c>
      <c r="FY53" s="116" t="str">
        <f t="shared" si="49"/>
        <v>Pre-Profit</v>
      </c>
      <c r="FZ53" s="126">
        <f t="shared" si="50"/>
        <v>0.4931506849</v>
      </c>
      <c r="GA53" s="112"/>
      <c r="GB53" s="127">
        <f t="shared" si="51"/>
        <v>1</v>
      </c>
      <c r="GC53" s="116" t="str">
        <f t="shared" si="52"/>
        <v>No</v>
      </c>
      <c r="GD53" s="126">
        <f t="shared" si="53"/>
        <v>0.7671232877</v>
      </c>
      <c r="GE53" s="126" t="str">
        <f t="shared" si="54"/>
        <v>Low</v>
      </c>
      <c r="GF53" s="126">
        <f t="shared" si="55"/>
        <v>0.5479452055</v>
      </c>
      <c r="GG53" s="126" t="str">
        <f t="shared" si="56"/>
        <v>High</v>
      </c>
      <c r="GH53" s="126">
        <f t="shared" si="57"/>
        <v>0.8082191781</v>
      </c>
      <c r="GI53" s="112"/>
      <c r="GJ53" s="116"/>
      <c r="GK53" s="119">
        <f t="shared" si="58"/>
        <v>12.83616844</v>
      </c>
      <c r="GL53" s="128">
        <f>1+((GK53-MIN(ratings_sums))*(4)/(MAX(ratings_sums) - MIN(ratings_sums)))</f>
        <v>2.731245707</v>
      </c>
    </row>
    <row r="54" ht="15.75" customHeight="1">
      <c r="A54" s="176" t="s">
        <v>702</v>
      </c>
      <c r="B54" s="169">
        <v>1785479.0</v>
      </c>
      <c r="C54" s="177" t="s">
        <v>779</v>
      </c>
      <c r="D54" s="178">
        <v>43719.43263888889</v>
      </c>
      <c r="E54" s="175" t="s">
        <v>392</v>
      </c>
      <c r="F54" s="192" t="s">
        <v>780</v>
      </c>
      <c r="G54" s="192" t="s">
        <v>781</v>
      </c>
      <c r="H54" s="193">
        <v>43691.0</v>
      </c>
      <c r="I54" s="180" t="s">
        <v>782</v>
      </c>
      <c r="J54" s="180" t="s">
        <v>783</v>
      </c>
      <c r="K54" s="170" t="s">
        <v>503</v>
      </c>
      <c r="L54" s="170" t="s">
        <v>355</v>
      </c>
      <c r="M54" s="170" t="s">
        <v>31</v>
      </c>
      <c r="N54" s="170" t="s">
        <v>82</v>
      </c>
      <c r="O54" s="170" t="s">
        <v>35</v>
      </c>
      <c r="P54" s="171"/>
      <c r="Q54" s="170" t="s">
        <v>195</v>
      </c>
      <c r="R54" s="181"/>
      <c r="S54" s="182"/>
      <c r="T54" s="183"/>
      <c r="U54" s="21">
        <v>1000000.0</v>
      </c>
      <c r="V54" s="185">
        <v>0.1</v>
      </c>
      <c r="W54" s="96">
        <f t="shared" si="125"/>
        <v>900000</v>
      </c>
      <c r="X54" s="98">
        <f t="shared" si="126"/>
        <v>900000</v>
      </c>
      <c r="Y54" s="99" t="str">
        <f t="shared" si="127"/>
        <v>&lt; $1M</v>
      </c>
      <c r="Z54" s="170" t="s">
        <v>86</v>
      </c>
      <c r="AA54" s="170" t="s">
        <v>123</v>
      </c>
      <c r="AB54" s="170" t="s">
        <v>88</v>
      </c>
      <c r="AC54" s="170" t="s">
        <v>493</v>
      </c>
      <c r="AD54" s="170" t="s">
        <v>39</v>
      </c>
      <c r="AE54" s="170" t="s">
        <v>89</v>
      </c>
      <c r="AF54" s="170" t="s">
        <v>469</v>
      </c>
      <c r="AG54" s="184">
        <v>4.6E10</v>
      </c>
      <c r="AH54" s="97" t="str">
        <f t="shared" si="128"/>
        <v>$25B-$50B</v>
      </c>
      <c r="AI54" s="184">
        <v>3.496E9</v>
      </c>
      <c r="AJ54" s="97" t="str">
        <f t="shared" si="129"/>
        <v>$1B-$5B</v>
      </c>
      <c r="AK54" s="186">
        <v>0.09</v>
      </c>
      <c r="AL54" s="88" t="str">
        <f t="shared" si="130"/>
        <v>0%-10%</v>
      </c>
      <c r="AM54" s="169">
        <v>5.0</v>
      </c>
      <c r="AN54" s="170" t="s">
        <v>89</v>
      </c>
      <c r="AO54" s="170" t="s">
        <v>89</v>
      </c>
      <c r="AP54" s="170" t="s">
        <v>40</v>
      </c>
      <c r="AQ54" s="100" t="s">
        <v>39</v>
      </c>
      <c r="AR54" s="100" t="s">
        <v>39</v>
      </c>
      <c r="AS54" s="170" t="s">
        <v>493</v>
      </c>
      <c r="AT54" s="170" t="s">
        <v>469</v>
      </c>
      <c r="AU54" s="170" t="s">
        <v>493</v>
      </c>
      <c r="AV54" s="170" t="s">
        <v>493</v>
      </c>
      <c r="AW54" s="184">
        <v>2175.0</v>
      </c>
      <c r="AX54" s="96" t="str">
        <f t="shared" si="131"/>
        <v>&lt; $10K</v>
      </c>
      <c r="AY54" s="184">
        <v>431.0</v>
      </c>
      <c r="AZ54" s="184">
        <v>0.0</v>
      </c>
      <c r="BA54" s="103" t="str">
        <f t="shared" si="132"/>
        <v>&lt; $10K</v>
      </c>
      <c r="BB54" s="103">
        <f t="shared" si="133"/>
        <v>1</v>
      </c>
      <c r="BC54" s="103" t="str">
        <f t="shared" si="134"/>
        <v>90% - 100%</v>
      </c>
      <c r="BD54" s="170" t="s">
        <v>107</v>
      </c>
      <c r="BE54" s="171"/>
      <c r="BF54" s="170" t="s">
        <v>469</v>
      </c>
      <c r="BG54" s="170">
        <v>0.0</v>
      </c>
      <c r="BH54" s="169">
        <v>1.0</v>
      </c>
      <c r="BI54" s="90" t="s">
        <v>469</v>
      </c>
      <c r="BJ54" s="170" t="s">
        <v>469</v>
      </c>
      <c r="BK54" s="170" t="s">
        <v>469</v>
      </c>
      <c r="BL54" s="170" t="s">
        <v>469</v>
      </c>
      <c r="BM54" s="169">
        <v>3.0</v>
      </c>
      <c r="BN54" s="169">
        <v>4.0</v>
      </c>
      <c r="BO54" s="169">
        <v>0.0</v>
      </c>
      <c r="BP54" s="169">
        <v>0.0</v>
      </c>
      <c r="BQ54" s="130"/>
      <c r="BR54" s="191">
        <v>2.0</v>
      </c>
      <c r="BS54" s="191">
        <v>0.0</v>
      </c>
      <c r="BT54" s="191">
        <v>0.0</v>
      </c>
      <c r="BU54" s="191">
        <v>35.0</v>
      </c>
      <c r="BV54" s="175" t="s">
        <v>469</v>
      </c>
      <c r="BW54" s="130"/>
      <c r="BX54" s="171"/>
      <c r="BY54" s="171"/>
      <c r="BZ54" s="171"/>
      <c r="CA54" s="171"/>
      <c r="CB54" s="171"/>
      <c r="CC54" s="130"/>
      <c r="CD54" s="171"/>
      <c r="CE54" s="171"/>
      <c r="CF54" s="171"/>
      <c r="CG54" s="171"/>
      <c r="CH54" s="171"/>
      <c r="CI54" s="130"/>
      <c r="CJ54" s="171"/>
      <c r="CK54" s="171"/>
      <c r="CL54" s="171"/>
      <c r="CM54" s="171"/>
      <c r="CN54" s="171"/>
      <c r="CO54" s="108"/>
      <c r="CP54" s="194"/>
      <c r="CQ54" s="194"/>
      <c r="CR54" s="194"/>
      <c r="CS54" s="194"/>
      <c r="CT54" s="195"/>
      <c r="CU54" s="130"/>
      <c r="CV54" s="194"/>
      <c r="CW54" s="194"/>
      <c r="CX54" s="194"/>
      <c r="CY54" s="194"/>
      <c r="CZ54" s="195"/>
      <c r="DA54" s="130"/>
      <c r="DB54" s="194"/>
      <c r="DC54" s="194"/>
      <c r="DD54" s="194"/>
      <c r="DE54" s="194"/>
      <c r="DF54" s="195"/>
      <c r="DG54" s="130"/>
      <c r="DH54" s="194"/>
      <c r="DI54" s="194"/>
      <c r="DJ54" s="194"/>
      <c r="DK54" s="194"/>
      <c r="DL54" s="195"/>
      <c r="DM54" s="130"/>
      <c r="DN54" s="194"/>
      <c r="DO54" s="194"/>
      <c r="DP54" s="194"/>
      <c r="DQ54" s="194"/>
      <c r="DR54" s="195"/>
      <c r="DS54" s="130"/>
      <c r="DT54" s="108"/>
      <c r="DU54" s="108"/>
      <c r="DW54" s="109"/>
      <c r="DX54" s="110">
        <f t="shared" si="13"/>
        <v>2</v>
      </c>
      <c r="DY54" s="111">
        <f t="shared" ref="DY54:DZ54" si="167">sum(BS54,BY54,CE54,CK54,CQ54,CW54,DC54,DI54,DO54)</f>
        <v>0</v>
      </c>
      <c r="DZ54" s="111">
        <f t="shared" si="167"/>
        <v>0</v>
      </c>
      <c r="EA54" s="110">
        <f t="shared" si="15"/>
        <v>35</v>
      </c>
      <c r="EB54" s="99" t="str">
        <f t="shared" si="16"/>
        <v>35 - 54</v>
      </c>
      <c r="EC54" s="112"/>
      <c r="ED54" s="113">
        <f t="shared" si="17"/>
        <v>5</v>
      </c>
      <c r="EE54" s="114">
        <f>IF(V54 &lt;&gt; "", 1+((V54-MIN(discount_rates))*(4)/(MAX(discount_rates) - MIN(discount_rates))), "")</f>
        <v>2.052631579</v>
      </c>
      <c r="EF54" s="114" t="str">
        <f>IF(Q54="Debt", (1+((S54-MIN(interest_rates))*(4)/(MAX(interest_rates) - MIN(interest_rates)))), "")</f>
        <v/>
      </c>
      <c r="EG54" s="114" t="str">
        <f>IF(OR(Q54="Revenue Share", Q54="Profit Share"), (1+((R54-MIN(return_mutiples))*(4)/(MAX(return_mutiples) - MIN(return_mutiples)))), "")</f>
        <v/>
      </c>
      <c r="EH54" s="115">
        <f t="shared" si="18"/>
        <v>5</v>
      </c>
      <c r="EI54" s="116" t="str">
        <f t="shared" si="19"/>
        <v>SAFE</v>
      </c>
      <c r="EJ54" s="117">
        <f t="shared" si="20"/>
        <v>0.3561643836</v>
      </c>
      <c r="EK54" s="116" t="str">
        <f t="shared" si="21"/>
        <v>Early</v>
      </c>
      <c r="EL54" s="112"/>
      <c r="EM54" s="118">
        <f t="shared" si="22"/>
        <v>2.7</v>
      </c>
      <c r="EN54" s="118">
        <f t="shared" si="23"/>
        <v>1.7</v>
      </c>
      <c r="EO54" s="119">
        <f t="shared" si="24"/>
        <v>4.4</v>
      </c>
      <c r="EP54" s="115">
        <f>1+((EO54-MIN(market_ratings_sums))*(4)/(MAX(market_ratings_sums) - MIN(market_ratings_sums)))</f>
        <v>2.192982456</v>
      </c>
      <c r="EQ54" s="116" t="str">
        <f t="shared" si="25"/>
        <v>Yes</v>
      </c>
      <c r="ER54" s="112"/>
      <c r="ES54" s="123">
        <f>1+((DX54-MIN(industry_experiences))*(4)/(MAX(industry_experiences) - MIN(industry_experiences)))</f>
        <v>1.19047619</v>
      </c>
      <c r="ET54" s="123">
        <f>1+((DY54-MIN(previous_startups))*(4)/(MAX(previous_startups) - MIN(previous_startups)))</f>
        <v>1</v>
      </c>
      <c r="EU54" s="123">
        <f>1+((DZ54-MIN(exits))*(4)/(MAX(exits) - MIN(exits)))</f>
        <v>1</v>
      </c>
      <c r="EV54" s="119">
        <f t="shared" si="26"/>
        <v>3.19047619</v>
      </c>
      <c r="EW54" s="124">
        <f>1+((EV54-MIN(team_ratings_sums))*(4)/(MAX(team_ratings_sums) - MIN(team_ratings_sums)))</f>
        <v>1.104347826</v>
      </c>
      <c r="EX54" s="116" t="str">
        <f t="shared" si="27"/>
        <v>35 - 54</v>
      </c>
      <c r="EY54" s="125">
        <f t="shared" si="28"/>
        <v>0.6849315068</v>
      </c>
      <c r="EZ54" s="116">
        <f t="shared" si="29"/>
        <v>1</v>
      </c>
      <c r="FA54" s="125">
        <f t="shared" si="30"/>
        <v>0.4383561644</v>
      </c>
      <c r="FB54" s="116">
        <f t="shared" si="31"/>
        <v>4</v>
      </c>
      <c r="FC54" s="125">
        <f t="shared" si="32"/>
        <v>0.1369863014</v>
      </c>
      <c r="FD54" s="116" t="str">
        <f t="shared" si="33"/>
        <v>No</v>
      </c>
      <c r="FE54" s="125">
        <f t="shared" si="34"/>
        <v>0.7534246575</v>
      </c>
      <c r="FF54" s="116" t="str">
        <f t="shared" ref="FF54:FH54" si="168">BJ54</f>
        <v>No</v>
      </c>
      <c r="FG54" s="116" t="str">
        <f t="shared" si="168"/>
        <v>No</v>
      </c>
      <c r="FH54" s="116" t="str">
        <f t="shared" si="168"/>
        <v>No</v>
      </c>
      <c r="FI54" s="112"/>
      <c r="FJ54" s="116" t="str">
        <f t="shared" si="36"/>
        <v>Recurring</v>
      </c>
      <c r="FK54" s="125">
        <f t="shared" si="37"/>
        <v>0.397260274</v>
      </c>
      <c r="FL54" s="116" t="str">
        <f t="shared" si="38"/>
        <v>B2B/B2C</v>
      </c>
      <c r="FM54" s="125">
        <f t="shared" si="39"/>
        <v>0.3287671233</v>
      </c>
      <c r="FN54" s="116" t="str">
        <f t="shared" si="40"/>
        <v>High</v>
      </c>
      <c r="FO54" s="125">
        <f t="shared" si="41"/>
        <v>0.5616438356</v>
      </c>
      <c r="FP54" s="116" t="str">
        <f t="shared" si="42"/>
        <v>Low</v>
      </c>
      <c r="FQ54" s="125">
        <f t="shared" si="43"/>
        <v>0.3561643836</v>
      </c>
      <c r="FR54" s="112"/>
      <c r="FS54" s="123">
        <f t="shared" si="44"/>
        <v>5</v>
      </c>
      <c r="FT54" s="123">
        <f t="shared" si="45"/>
        <v>1</v>
      </c>
      <c r="FU54" s="123">
        <f t="shared" si="46"/>
        <v>1</v>
      </c>
      <c r="FV54" s="123">
        <f t="shared" si="47"/>
        <v>5</v>
      </c>
      <c r="FW54" s="119">
        <f t="shared" si="48"/>
        <v>12</v>
      </c>
      <c r="FX54" s="115">
        <f>1+((FW54-MIN(performance_ratings_sums))*(4)/(MAX(performance_ratings_sums) - MIN(performance_ratings_sums)))</f>
        <v>2.981308411</v>
      </c>
      <c r="FY54" s="116" t="str">
        <f t="shared" si="49"/>
        <v>Pre-Profit</v>
      </c>
      <c r="FZ54" s="126">
        <f t="shared" si="50"/>
        <v>0.4931506849</v>
      </c>
      <c r="GA54" s="112"/>
      <c r="GB54" s="127">
        <f t="shared" si="51"/>
        <v>1</v>
      </c>
      <c r="GC54" s="116" t="str">
        <f t="shared" si="52"/>
        <v>No</v>
      </c>
      <c r="GD54" s="126">
        <f t="shared" si="53"/>
        <v>0.7671232877</v>
      </c>
      <c r="GE54" s="126" t="str">
        <f t="shared" si="54"/>
        <v>High</v>
      </c>
      <c r="GF54" s="126">
        <f t="shared" si="55"/>
        <v>0.4520547945</v>
      </c>
      <c r="GG54" s="126" t="str">
        <f t="shared" si="56"/>
        <v>High</v>
      </c>
      <c r="GH54" s="126">
        <f t="shared" si="57"/>
        <v>0.8082191781</v>
      </c>
      <c r="GI54" s="112"/>
      <c r="GJ54" s="116"/>
      <c r="GK54" s="119">
        <f t="shared" si="58"/>
        <v>12.27863869</v>
      </c>
      <c r="GL54" s="128">
        <f>1+((GK54-MIN(ratings_sums))*(4)/(MAX(ratings_sums) - MIN(ratings_sums)))</f>
        <v>2.560173298</v>
      </c>
    </row>
    <row r="55" ht="15.75" customHeight="1">
      <c r="A55" s="176" t="s">
        <v>702</v>
      </c>
      <c r="B55" s="169">
        <v>1787347.0</v>
      </c>
      <c r="C55" s="177" t="s">
        <v>784</v>
      </c>
      <c r="D55" s="178">
        <v>43721.41805555556</v>
      </c>
      <c r="E55" s="170" t="s">
        <v>392</v>
      </c>
      <c r="F55" s="150" t="s">
        <v>785</v>
      </c>
      <c r="G55" s="150" t="s">
        <v>786</v>
      </c>
      <c r="H55" s="179">
        <v>43713.0</v>
      </c>
      <c r="I55" s="180" t="s">
        <v>787</v>
      </c>
      <c r="J55" s="180" t="s">
        <v>784</v>
      </c>
      <c r="K55" s="170" t="s">
        <v>503</v>
      </c>
      <c r="L55" s="170" t="s">
        <v>349</v>
      </c>
      <c r="M55" s="170" t="s">
        <v>31</v>
      </c>
      <c r="N55" s="170" t="s">
        <v>82</v>
      </c>
      <c r="O55" s="170" t="s">
        <v>35</v>
      </c>
      <c r="P55" s="171"/>
      <c r="Q55" s="170" t="s">
        <v>195</v>
      </c>
      <c r="R55" s="181"/>
      <c r="S55" s="182"/>
      <c r="U55" s="184">
        <v>2000000.0</v>
      </c>
      <c r="V55" s="185">
        <v>0.0</v>
      </c>
      <c r="W55" s="96">
        <f t="shared" si="125"/>
        <v>2000000</v>
      </c>
      <c r="X55" s="99">
        <f t="shared" si="126"/>
        <v>2000000</v>
      </c>
      <c r="Y55" s="99" t="str">
        <f t="shared" si="127"/>
        <v>$1M - $2M</v>
      </c>
      <c r="Z55" s="170" t="s">
        <v>86</v>
      </c>
      <c r="AA55" s="170" t="s">
        <v>123</v>
      </c>
      <c r="AB55" s="170" t="s">
        <v>88</v>
      </c>
      <c r="AC55" s="170" t="s">
        <v>493</v>
      </c>
      <c r="AD55" s="170" t="s">
        <v>39</v>
      </c>
      <c r="AE55" s="170" t="s">
        <v>89</v>
      </c>
      <c r="AF55" s="170" t="s">
        <v>469</v>
      </c>
      <c r="AG55" s="184">
        <v>4.0E9</v>
      </c>
      <c r="AH55" s="97" t="str">
        <f t="shared" si="128"/>
        <v>$1B-$5B</v>
      </c>
      <c r="AI55" s="184">
        <v>4.0E9</v>
      </c>
      <c r="AJ55" s="97" t="str">
        <f t="shared" si="129"/>
        <v>$1B-$5B</v>
      </c>
      <c r="AK55" s="186">
        <v>0.175</v>
      </c>
      <c r="AL55" s="88" t="str">
        <f t="shared" si="130"/>
        <v>10%-20%</v>
      </c>
      <c r="AM55" s="169">
        <v>4.0</v>
      </c>
      <c r="AN55" s="170" t="s">
        <v>39</v>
      </c>
      <c r="AO55" s="170" t="s">
        <v>39</v>
      </c>
      <c r="AP55" s="170" t="s">
        <v>90</v>
      </c>
      <c r="AQ55" s="100" t="s">
        <v>89</v>
      </c>
      <c r="AR55" s="100" t="s">
        <v>39</v>
      </c>
      <c r="AS55" s="170" t="s">
        <v>469</v>
      </c>
      <c r="AT55" s="170" t="s">
        <v>469</v>
      </c>
      <c r="AU55" s="170" t="s">
        <v>493</v>
      </c>
      <c r="AV55" s="170" t="s">
        <v>493</v>
      </c>
      <c r="AW55" s="184">
        <v>0.0</v>
      </c>
      <c r="AX55" s="96" t="str">
        <f t="shared" si="131"/>
        <v>&lt; $10K</v>
      </c>
      <c r="AY55" s="184">
        <v>192.0</v>
      </c>
      <c r="AZ55" s="21">
        <v>5100.0</v>
      </c>
      <c r="BA55" s="103" t="str">
        <f t="shared" si="132"/>
        <v>&lt; $10K</v>
      </c>
      <c r="BB55" s="103">
        <f t="shared" si="133"/>
        <v>0.03764705882</v>
      </c>
      <c r="BC55" s="103" t="str">
        <f t="shared" si="134"/>
        <v>&lt; 10%</v>
      </c>
      <c r="BD55" s="170" t="s">
        <v>107</v>
      </c>
      <c r="BE55" s="171"/>
      <c r="BF55" s="170" t="s">
        <v>469</v>
      </c>
      <c r="BG55" s="170">
        <v>0.0</v>
      </c>
      <c r="BH55" s="169">
        <v>4.0</v>
      </c>
      <c r="BI55" s="170" t="s">
        <v>493</v>
      </c>
      <c r="BJ55" s="170" t="s">
        <v>469</v>
      </c>
      <c r="BK55" s="170" t="s">
        <v>493</v>
      </c>
      <c r="BL55" s="170" t="s">
        <v>469</v>
      </c>
      <c r="BM55" s="169">
        <v>6.0</v>
      </c>
      <c r="BN55" s="169">
        <v>4.0</v>
      </c>
      <c r="BO55" s="169">
        <v>0.0</v>
      </c>
      <c r="BP55" s="169">
        <v>0.0</v>
      </c>
      <c r="BQ55" s="130"/>
      <c r="BR55" s="191">
        <v>7.0</v>
      </c>
      <c r="BS55" s="191">
        <v>0.0</v>
      </c>
      <c r="BT55" s="191">
        <v>0.0</v>
      </c>
      <c r="BU55" s="191">
        <v>38.0</v>
      </c>
      <c r="BV55" s="175" t="s">
        <v>469</v>
      </c>
      <c r="BW55" s="130"/>
      <c r="BX55" s="170">
        <v>7.0</v>
      </c>
      <c r="BY55" s="170">
        <v>1.0</v>
      </c>
      <c r="BZ55" s="170">
        <v>0.0</v>
      </c>
      <c r="CA55" s="170">
        <v>48.0</v>
      </c>
      <c r="CB55" s="170" t="s">
        <v>493</v>
      </c>
      <c r="CC55" s="130"/>
      <c r="CD55" s="170">
        <v>7.0</v>
      </c>
      <c r="CE55" s="170">
        <v>0.0</v>
      </c>
      <c r="CF55" s="170">
        <v>0.0</v>
      </c>
      <c r="CG55" s="170">
        <v>27.0</v>
      </c>
      <c r="CH55" s="170" t="s">
        <v>469</v>
      </c>
      <c r="CI55" s="130"/>
      <c r="CJ55" s="170">
        <v>7.0</v>
      </c>
      <c r="CK55" s="170">
        <v>0.0</v>
      </c>
      <c r="CL55" s="170">
        <v>0.0</v>
      </c>
      <c r="CM55" s="170">
        <v>35.0</v>
      </c>
      <c r="CN55" s="170" t="s">
        <v>469</v>
      </c>
      <c r="CO55" s="108"/>
      <c r="CP55" s="171"/>
      <c r="CQ55" s="171"/>
      <c r="CR55" s="171"/>
      <c r="CS55" s="171"/>
      <c r="CT55" s="171"/>
      <c r="CU55" s="130"/>
      <c r="CV55" s="171"/>
      <c r="CW55" s="171"/>
      <c r="CX55" s="171"/>
      <c r="CY55" s="171"/>
      <c r="CZ55" s="171"/>
      <c r="DA55" s="130"/>
      <c r="DB55" s="171"/>
      <c r="DC55" s="171"/>
      <c r="DD55" s="171"/>
      <c r="DE55" s="171"/>
      <c r="DF55" s="171"/>
      <c r="DG55" s="130"/>
      <c r="DH55" s="171"/>
      <c r="DI55" s="171"/>
      <c r="DJ55" s="171"/>
      <c r="DK55" s="171"/>
      <c r="DL55" s="171"/>
      <c r="DM55" s="130"/>
      <c r="DN55" s="171"/>
      <c r="DO55" s="171"/>
      <c r="DP55" s="171"/>
      <c r="DQ55" s="171"/>
      <c r="DR55" s="171"/>
      <c r="DS55" s="130"/>
      <c r="DT55" s="108"/>
      <c r="DU55" s="108"/>
      <c r="DW55" s="109"/>
      <c r="DX55" s="110">
        <f t="shared" si="13"/>
        <v>7</v>
      </c>
      <c r="DY55" s="111">
        <f t="shared" ref="DY55:DZ55" si="169">sum(BS55,BY55,CE55,CK55,CQ55,CW55,DC55,DI55,DO55)</f>
        <v>1</v>
      </c>
      <c r="DZ55" s="111">
        <f t="shared" si="169"/>
        <v>0</v>
      </c>
      <c r="EA55" s="110">
        <f t="shared" si="15"/>
        <v>37</v>
      </c>
      <c r="EB55" s="99" t="str">
        <f t="shared" si="16"/>
        <v>35 - 54</v>
      </c>
      <c r="EC55" s="112"/>
      <c r="ED55" s="113">
        <f t="shared" si="17"/>
        <v>4.8</v>
      </c>
      <c r="EE55" s="114">
        <f>IF(V55 &lt;&gt; "", 1+((V55-MIN(discount_rates))*(4)/(MAX(discount_rates) - MIN(discount_rates))), "")</f>
        <v>1</v>
      </c>
      <c r="EF55" s="114" t="str">
        <f>IF(Q55="Debt", (1+((S55-MIN(interest_rates))*(4)/(MAX(interest_rates) - MIN(interest_rates)))), "")</f>
        <v/>
      </c>
      <c r="EG55" s="114" t="str">
        <f>IF(OR(Q55="Revenue Share", Q55="Profit Share"), (1+((R55-MIN(return_mutiples))*(4)/(MAX(return_mutiples) - MIN(return_mutiples)))), "")</f>
        <v/>
      </c>
      <c r="EH55" s="115">
        <f t="shared" si="18"/>
        <v>4.8</v>
      </c>
      <c r="EI55" s="116" t="str">
        <f t="shared" si="19"/>
        <v>SAFE</v>
      </c>
      <c r="EJ55" s="117">
        <f t="shared" si="20"/>
        <v>0.3561643836</v>
      </c>
      <c r="EK55" s="116" t="str">
        <f t="shared" si="21"/>
        <v>Early</v>
      </c>
      <c r="EL55" s="112"/>
      <c r="EM55" s="118">
        <f t="shared" si="22"/>
        <v>2.7</v>
      </c>
      <c r="EN55" s="118">
        <f t="shared" si="23"/>
        <v>2.3</v>
      </c>
      <c r="EO55" s="119">
        <f t="shared" si="24"/>
        <v>5</v>
      </c>
      <c r="EP55" s="115">
        <f>1+((EO55-MIN(market_ratings_sums))*(4)/(MAX(market_ratings_sums) - MIN(market_ratings_sums)))</f>
        <v>2.614035088</v>
      </c>
      <c r="EQ55" s="116" t="str">
        <f t="shared" si="25"/>
        <v>No</v>
      </c>
      <c r="ER55" s="112"/>
      <c r="ES55" s="123">
        <f>1+((DX55-MIN(industry_experiences))*(4)/(MAX(industry_experiences) - MIN(industry_experiences)))</f>
        <v>1.666666667</v>
      </c>
      <c r="ET55" s="123">
        <f>1+((DY55-MIN(previous_startups))*(4)/(MAX(previous_startups) - MIN(previous_startups)))</f>
        <v>1.444444444</v>
      </c>
      <c r="EU55" s="123">
        <f>1+((DZ55-MIN(exits))*(4)/(MAX(exits) - MIN(exits)))</f>
        <v>1</v>
      </c>
      <c r="EV55" s="119">
        <f t="shared" si="26"/>
        <v>4.111111111</v>
      </c>
      <c r="EW55" s="124">
        <f>1+((EV55-MIN(team_ratings_sums))*(4)/(MAX(team_ratings_sums) - MIN(team_ratings_sums)))</f>
        <v>1.608695652</v>
      </c>
      <c r="EX55" s="116" t="str">
        <f t="shared" si="27"/>
        <v>35 - 54</v>
      </c>
      <c r="EY55" s="125">
        <f t="shared" si="28"/>
        <v>0.6849315068</v>
      </c>
      <c r="EZ55" s="116">
        <f t="shared" si="29"/>
        <v>4</v>
      </c>
      <c r="FA55" s="125">
        <f t="shared" si="30"/>
        <v>0.05479452055</v>
      </c>
      <c r="FB55" s="116">
        <f t="shared" si="31"/>
        <v>4</v>
      </c>
      <c r="FC55" s="125">
        <f t="shared" si="32"/>
        <v>0.1369863014</v>
      </c>
      <c r="FD55" s="116" t="str">
        <f t="shared" si="33"/>
        <v>Yes</v>
      </c>
      <c r="FE55" s="125">
        <f t="shared" si="34"/>
        <v>0.2465753425</v>
      </c>
      <c r="FF55" s="116" t="str">
        <f t="shared" ref="FF55:FH55" si="170">BJ55</f>
        <v>No</v>
      </c>
      <c r="FG55" s="116" t="str">
        <f t="shared" si="170"/>
        <v>Yes</v>
      </c>
      <c r="FH55" s="116" t="str">
        <f t="shared" si="170"/>
        <v>No</v>
      </c>
      <c r="FI55" s="112"/>
      <c r="FJ55" s="116" t="str">
        <f t="shared" si="36"/>
        <v>Recurring</v>
      </c>
      <c r="FK55" s="125">
        <f t="shared" si="37"/>
        <v>0.397260274</v>
      </c>
      <c r="FL55" s="116" t="str">
        <f t="shared" si="38"/>
        <v>B2B/B2C</v>
      </c>
      <c r="FM55" s="125">
        <f t="shared" si="39"/>
        <v>0.3287671233</v>
      </c>
      <c r="FN55" s="116" t="str">
        <f t="shared" si="40"/>
        <v>High</v>
      </c>
      <c r="FO55" s="125">
        <f t="shared" si="41"/>
        <v>0.5616438356</v>
      </c>
      <c r="FP55" s="116" t="str">
        <f t="shared" si="42"/>
        <v>Low</v>
      </c>
      <c r="FQ55" s="125">
        <f t="shared" si="43"/>
        <v>0.3561643836</v>
      </c>
      <c r="FR55" s="112"/>
      <c r="FS55" s="123">
        <f t="shared" si="44"/>
        <v>5</v>
      </c>
      <c r="FT55" s="123">
        <f t="shared" si="45"/>
        <v>1</v>
      </c>
      <c r="FU55" s="123">
        <f t="shared" si="46"/>
        <v>5</v>
      </c>
      <c r="FV55" s="123">
        <f t="shared" si="47"/>
        <v>5</v>
      </c>
      <c r="FW55" s="119">
        <f t="shared" si="48"/>
        <v>16</v>
      </c>
      <c r="FX55" s="115">
        <f>1+((FW55-MIN(performance_ratings_sums))*(4)/(MAX(performance_ratings_sums) - MIN(performance_ratings_sums)))</f>
        <v>4.476635514</v>
      </c>
      <c r="FY55" s="116" t="str">
        <f t="shared" si="49"/>
        <v>Pre-Profit</v>
      </c>
      <c r="FZ55" s="126">
        <f t="shared" si="50"/>
        <v>0.4931506849</v>
      </c>
      <c r="GA55" s="112"/>
      <c r="GB55" s="127">
        <f t="shared" si="51"/>
        <v>5</v>
      </c>
      <c r="GC55" s="116" t="str">
        <f t="shared" si="52"/>
        <v>No</v>
      </c>
      <c r="GD55" s="126">
        <f t="shared" si="53"/>
        <v>0.7671232877</v>
      </c>
      <c r="GE55" s="126" t="str">
        <f t="shared" si="54"/>
        <v>Low</v>
      </c>
      <c r="GF55" s="126">
        <f t="shared" si="55"/>
        <v>0.5479452055</v>
      </c>
      <c r="GG55" s="126" t="str">
        <f t="shared" si="56"/>
        <v>High</v>
      </c>
      <c r="GH55" s="126">
        <f t="shared" si="57"/>
        <v>0.8082191781</v>
      </c>
      <c r="GI55" s="112"/>
      <c r="GJ55" s="116"/>
      <c r="GK55" s="119">
        <f t="shared" si="58"/>
        <v>18.49936625</v>
      </c>
      <c r="GL55" s="128">
        <f>1+((GK55-MIN(ratings_sums))*(4)/(MAX(ratings_sums) - MIN(ratings_sums)))</f>
        <v>4.46894114</v>
      </c>
    </row>
    <row r="56" ht="15.75" customHeight="1">
      <c r="A56" s="176" t="s">
        <v>702</v>
      </c>
      <c r="B56" s="169">
        <v>1761058.0</v>
      </c>
      <c r="C56" s="177" t="s">
        <v>788</v>
      </c>
      <c r="D56" s="189">
        <v>43794.55902777778</v>
      </c>
      <c r="E56" s="170" t="s">
        <v>363</v>
      </c>
      <c r="F56" s="150" t="s">
        <v>789</v>
      </c>
      <c r="G56" s="150" t="s">
        <v>790</v>
      </c>
      <c r="H56" s="179">
        <v>43794.0</v>
      </c>
      <c r="I56" s="180" t="s">
        <v>791</v>
      </c>
      <c r="J56" s="180" t="s">
        <v>792</v>
      </c>
      <c r="K56" s="170" t="s">
        <v>503</v>
      </c>
      <c r="L56" s="170" t="s">
        <v>355</v>
      </c>
      <c r="M56" s="170" t="s">
        <v>31</v>
      </c>
      <c r="N56" s="170" t="s">
        <v>82</v>
      </c>
      <c r="O56" s="170" t="s">
        <v>35</v>
      </c>
      <c r="P56" s="171"/>
      <c r="Q56" s="170" t="s">
        <v>34</v>
      </c>
      <c r="R56" s="181"/>
      <c r="S56" s="182"/>
      <c r="T56" s="183"/>
      <c r="U56" s="184">
        <v>5000000.0</v>
      </c>
      <c r="V56" s="185">
        <v>0.0</v>
      </c>
      <c r="W56" s="96">
        <f t="shared" si="125"/>
        <v>5000000</v>
      </c>
      <c r="X56" s="98">
        <f t="shared" si="126"/>
        <v>5000000</v>
      </c>
      <c r="Y56" s="99" t="str">
        <f t="shared" si="127"/>
        <v>$4M - $6M</v>
      </c>
      <c r="Z56" s="170" t="s">
        <v>86</v>
      </c>
      <c r="AA56" s="170" t="s">
        <v>87</v>
      </c>
      <c r="AB56" s="170" t="s">
        <v>88</v>
      </c>
      <c r="AC56" s="170" t="s">
        <v>493</v>
      </c>
      <c r="AD56" s="170" t="s">
        <v>39</v>
      </c>
      <c r="AE56" s="170" t="s">
        <v>89</v>
      </c>
      <c r="AF56" s="170" t="s">
        <v>469</v>
      </c>
      <c r="AG56" s="184">
        <v>4.26E10</v>
      </c>
      <c r="AH56" s="97" t="str">
        <f t="shared" si="128"/>
        <v>$25B-$50B</v>
      </c>
      <c r="AI56" s="184">
        <v>4.26E10</v>
      </c>
      <c r="AJ56" s="97" t="str">
        <f t="shared" si="129"/>
        <v>$25B-$50B</v>
      </c>
      <c r="AK56" s="186">
        <v>0.204</v>
      </c>
      <c r="AL56" s="88" t="str">
        <f t="shared" si="130"/>
        <v>20%-30%</v>
      </c>
      <c r="AM56" s="169">
        <v>10.0</v>
      </c>
      <c r="AN56" s="170" t="s">
        <v>89</v>
      </c>
      <c r="AO56" s="170" t="s">
        <v>89</v>
      </c>
      <c r="AP56" s="170" t="s">
        <v>40</v>
      </c>
      <c r="AQ56" s="100" t="s">
        <v>89</v>
      </c>
      <c r="AR56" s="100" t="s">
        <v>39</v>
      </c>
      <c r="AS56" s="170" t="s">
        <v>469</v>
      </c>
      <c r="AT56" s="170" t="s">
        <v>493</v>
      </c>
      <c r="AU56" s="170" t="s">
        <v>469</v>
      </c>
      <c r="AV56" s="170" t="s">
        <v>469</v>
      </c>
      <c r="AW56" s="184">
        <v>0.0</v>
      </c>
      <c r="AX56" s="96" t="str">
        <f t="shared" si="131"/>
        <v>&lt; $10K</v>
      </c>
      <c r="AY56" s="184">
        <v>4039.0</v>
      </c>
      <c r="AZ56" s="184">
        <v>0.0</v>
      </c>
      <c r="BA56" s="103" t="str">
        <f t="shared" si="132"/>
        <v>&lt; $10K</v>
      </c>
      <c r="BB56" s="103">
        <f t="shared" si="133"/>
        <v>1</v>
      </c>
      <c r="BC56" s="103" t="str">
        <f t="shared" si="134"/>
        <v>90% - 100%</v>
      </c>
      <c r="BD56" s="170" t="s">
        <v>41</v>
      </c>
      <c r="BE56" s="171"/>
      <c r="BF56" s="170" t="s">
        <v>469</v>
      </c>
      <c r="BG56" s="169">
        <v>0.0</v>
      </c>
      <c r="BH56" s="169">
        <v>1.0</v>
      </c>
      <c r="BI56" s="90" t="s">
        <v>469</v>
      </c>
      <c r="BJ56" s="170" t="s">
        <v>469</v>
      </c>
      <c r="BK56" s="170" t="s">
        <v>469</v>
      </c>
      <c r="BL56" s="170" t="s">
        <v>469</v>
      </c>
      <c r="BM56" s="169">
        <v>0.0</v>
      </c>
      <c r="BN56" s="169">
        <v>4.0</v>
      </c>
      <c r="BO56" s="169">
        <v>0.0</v>
      </c>
      <c r="BP56" s="169">
        <v>0.0</v>
      </c>
      <c r="BQ56" s="130"/>
      <c r="BR56" s="191">
        <v>0.0</v>
      </c>
      <c r="BS56" s="191">
        <v>0.0</v>
      </c>
      <c r="BT56" s="191">
        <v>0.0</v>
      </c>
      <c r="BU56" s="191">
        <v>45.0</v>
      </c>
      <c r="BV56" s="175" t="s">
        <v>469</v>
      </c>
      <c r="BW56" s="130"/>
      <c r="BX56" s="191"/>
      <c r="BY56" s="191"/>
      <c r="BZ56" s="191"/>
      <c r="CA56" s="171"/>
      <c r="CB56" s="171"/>
      <c r="CC56" s="130"/>
      <c r="CD56" s="171"/>
      <c r="CE56" s="171"/>
      <c r="CF56" s="171"/>
      <c r="CG56" s="171"/>
      <c r="CH56" s="171"/>
      <c r="CI56" s="130"/>
      <c r="CJ56" s="171"/>
      <c r="CK56" s="171"/>
      <c r="CL56" s="171"/>
      <c r="CM56" s="171"/>
      <c r="CN56" s="171"/>
      <c r="CO56" s="108"/>
      <c r="CP56" s="171"/>
      <c r="CQ56" s="171"/>
      <c r="CR56" s="171"/>
      <c r="CS56" s="171"/>
      <c r="CT56" s="171"/>
      <c r="CU56" s="130"/>
      <c r="CV56" s="171"/>
      <c r="CW56" s="171"/>
      <c r="CX56" s="171"/>
      <c r="CY56" s="171"/>
      <c r="CZ56" s="171"/>
      <c r="DA56" s="130"/>
      <c r="DB56" s="171"/>
      <c r="DC56" s="171"/>
      <c r="DD56" s="171"/>
      <c r="DE56" s="171"/>
      <c r="DF56" s="171"/>
      <c r="DG56" s="130"/>
      <c r="DH56" s="171"/>
      <c r="DI56" s="171"/>
      <c r="DJ56" s="171"/>
      <c r="DK56" s="171"/>
      <c r="DL56" s="171"/>
      <c r="DM56" s="130"/>
      <c r="DN56" s="171"/>
      <c r="DO56" s="171"/>
      <c r="DP56" s="171"/>
      <c r="DQ56" s="171"/>
      <c r="DR56" s="171"/>
      <c r="DS56" s="130"/>
      <c r="DT56" s="108"/>
      <c r="DU56" s="108"/>
      <c r="DW56" s="109"/>
      <c r="DX56" s="110">
        <f t="shared" si="13"/>
        <v>0</v>
      </c>
      <c r="DY56" s="111">
        <f t="shared" ref="DY56:DZ56" si="171">sum(BS56,BY56,CE56,CK56,CQ56,CW56,DC56,DI56,DO56)</f>
        <v>0</v>
      </c>
      <c r="DZ56" s="111">
        <f t="shared" si="171"/>
        <v>0</v>
      </c>
      <c r="EA56" s="110">
        <f t="shared" si="15"/>
        <v>45</v>
      </c>
      <c r="EB56" s="99" t="str">
        <f t="shared" si="16"/>
        <v>35 - 54</v>
      </c>
      <c r="EC56" s="112"/>
      <c r="ED56" s="113">
        <f t="shared" si="17"/>
        <v>4.4</v>
      </c>
      <c r="EE56" s="114">
        <f>IF(V56 &lt;&gt; "", 1+((V56-MIN(discount_rates))*(4)/(MAX(discount_rates) - MIN(discount_rates))), "")</f>
        <v>1</v>
      </c>
      <c r="EF56" s="114" t="str">
        <f>IF(Q56="Debt", (1+((S56-MIN(interest_rates))*(4)/(MAX(interest_rates) - MIN(interest_rates)))), "")</f>
        <v/>
      </c>
      <c r="EG56" s="114" t="str">
        <f>IF(OR(Q56="Revenue Share", Q56="Profit Share"), (1+((R56-MIN(return_mutiples))*(4)/(MAX(return_mutiples) - MIN(return_mutiples)))), "")</f>
        <v/>
      </c>
      <c r="EH56" s="115">
        <f t="shared" si="18"/>
        <v>4.4</v>
      </c>
      <c r="EI56" s="116" t="str">
        <f t="shared" si="19"/>
        <v>CAFES</v>
      </c>
      <c r="EJ56" s="117">
        <f t="shared" si="20"/>
        <v>0.1232876712</v>
      </c>
      <c r="EK56" s="116" t="str">
        <f t="shared" si="21"/>
        <v>Early</v>
      </c>
      <c r="EL56" s="112"/>
      <c r="EM56" s="118">
        <f t="shared" si="22"/>
        <v>3.6</v>
      </c>
      <c r="EN56" s="118">
        <f t="shared" si="23"/>
        <v>3</v>
      </c>
      <c r="EO56" s="119">
        <f t="shared" si="24"/>
        <v>6.6</v>
      </c>
      <c r="EP56" s="115">
        <f>1+((EO56-MIN(market_ratings_sums))*(4)/(MAX(market_ratings_sums) - MIN(market_ratings_sums)))</f>
        <v>3.736842105</v>
      </c>
      <c r="EQ56" s="116" t="str">
        <f t="shared" si="25"/>
        <v>No</v>
      </c>
      <c r="ER56" s="112"/>
      <c r="ES56" s="123">
        <f>1+((DX56-MIN(industry_experiences))*(4)/(MAX(industry_experiences) - MIN(industry_experiences)))</f>
        <v>1</v>
      </c>
      <c r="ET56" s="123">
        <f>1+((DY56-MIN(previous_startups))*(4)/(MAX(previous_startups) - MIN(previous_startups)))</f>
        <v>1</v>
      </c>
      <c r="EU56" s="123">
        <f>1+((DZ56-MIN(exits))*(4)/(MAX(exits) - MIN(exits)))</f>
        <v>1</v>
      </c>
      <c r="EV56" s="119">
        <f t="shared" si="26"/>
        <v>3</v>
      </c>
      <c r="EW56" s="124">
        <f>1+((EV56-MIN(team_ratings_sums))*(4)/(MAX(team_ratings_sums) - MIN(team_ratings_sums)))</f>
        <v>1</v>
      </c>
      <c r="EX56" s="116" t="str">
        <f t="shared" si="27"/>
        <v>35 - 54</v>
      </c>
      <c r="EY56" s="125">
        <f t="shared" si="28"/>
        <v>0.6849315068</v>
      </c>
      <c r="EZ56" s="116">
        <f t="shared" si="29"/>
        <v>1</v>
      </c>
      <c r="FA56" s="125">
        <f t="shared" si="30"/>
        <v>0.4383561644</v>
      </c>
      <c r="FB56" s="116">
        <f t="shared" si="31"/>
        <v>4</v>
      </c>
      <c r="FC56" s="125">
        <f t="shared" si="32"/>
        <v>0.1369863014</v>
      </c>
      <c r="FD56" s="116" t="str">
        <f t="shared" si="33"/>
        <v>No</v>
      </c>
      <c r="FE56" s="125">
        <f t="shared" si="34"/>
        <v>0.7534246575</v>
      </c>
      <c r="FF56" s="116" t="str">
        <f t="shared" ref="FF56:FH56" si="172">BJ56</f>
        <v>No</v>
      </c>
      <c r="FG56" s="116" t="str">
        <f t="shared" si="172"/>
        <v>No</v>
      </c>
      <c r="FH56" s="116" t="str">
        <f t="shared" si="172"/>
        <v>No</v>
      </c>
      <c r="FI56" s="112"/>
      <c r="FJ56" s="116" t="str">
        <f t="shared" si="36"/>
        <v>Recurring</v>
      </c>
      <c r="FK56" s="125">
        <f t="shared" si="37"/>
        <v>0.397260274</v>
      </c>
      <c r="FL56" s="116" t="str">
        <f t="shared" si="38"/>
        <v>B2C</v>
      </c>
      <c r="FM56" s="125">
        <f t="shared" si="39"/>
        <v>0.397260274</v>
      </c>
      <c r="FN56" s="116" t="str">
        <f t="shared" si="40"/>
        <v>High</v>
      </c>
      <c r="FO56" s="125">
        <f t="shared" si="41"/>
        <v>0.5616438356</v>
      </c>
      <c r="FP56" s="116" t="str">
        <f t="shared" si="42"/>
        <v>Low</v>
      </c>
      <c r="FQ56" s="125">
        <f t="shared" si="43"/>
        <v>0.3561643836</v>
      </c>
      <c r="FR56" s="112"/>
      <c r="FS56" s="123">
        <f t="shared" si="44"/>
        <v>1</v>
      </c>
      <c r="FT56" s="123">
        <f t="shared" si="45"/>
        <v>1</v>
      </c>
      <c r="FU56" s="123">
        <f t="shared" si="46"/>
        <v>1</v>
      </c>
      <c r="FV56" s="123">
        <f t="shared" si="47"/>
        <v>5</v>
      </c>
      <c r="FW56" s="119">
        <f t="shared" si="48"/>
        <v>8</v>
      </c>
      <c r="FX56" s="115">
        <f>1+((FW56-MIN(performance_ratings_sums))*(4)/(MAX(performance_ratings_sums) - MIN(performance_ratings_sums)))</f>
        <v>1.485981308</v>
      </c>
      <c r="FY56" s="116" t="str">
        <f t="shared" si="49"/>
        <v>Pre-Product</v>
      </c>
      <c r="FZ56" s="126">
        <f t="shared" si="50"/>
        <v>0.2328767123</v>
      </c>
      <c r="GA56" s="112"/>
      <c r="GB56" s="127">
        <f t="shared" si="51"/>
        <v>1</v>
      </c>
      <c r="GC56" s="116" t="str">
        <f t="shared" si="52"/>
        <v>Yes</v>
      </c>
      <c r="GD56" s="126">
        <f t="shared" si="53"/>
        <v>0.2328767123</v>
      </c>
      <c r="GE56" s="126" t="str">
        <f t="shared" si="54"/>
        <v>Low</v>
      </c>
      <c r="GF56" s="126">
        <f t="shared" si="55"/>
        <v>0.5479452055</v>
      </c>
      <c r="GG56" s="126" t="str">
        <f t="shared" si="56"/>
        <v>High</v>
      </c>
      <c r="GH56" s="126">
        <f t="shared" si="57"/>
        <v>0.8082191781</v>
      </c>
      <c r="GI56" s="112"/>
      <c r="GJ56" s="116"/>
      <c r="GK56" s="119">
        <f t="shared" si="58"/>
        <v>11.62282341</v>
      </c>
      <c r="GL56" s="128">
        <f>1+((GK56-MIN(ratings_sums))*(4)/(MAX(ratings_sums) - MIN(ratings_sums)))</f>
        <v>2.358942959</v>
      </c>
    </row>
    <row r="57" ht="15.75" customHeight="1">
      <c r="A57" s="176" t="s">
        <v>702</v>
      </c>
      <c r="B57" s="191">
        <v>1722137.0</v>
      </c>
      <c r="C57" s="180" t="s">
        <v>793</v>
      </c>
      <c r="D57" s="196">
        <v>43801.41805555556</v>
      </c>
      <c r="E57" s="175" t="s">
        <v>369</v>
      </c>
      <c r="F57" s="192" t="s">
        <v>794</v>
      </c>
      <c r="G57" s="192" t="s">
        <v>795</v>
      </c>
      <c r="H57" s="193">
        <v>43791.0</v>
      </c>
      <c r="I57" s="197" t="s">
        <v>796</v>
      </c>
      <c r="J57" s="180" t="s">
        <v>793</v>
      </c>
      <c r="K57" s="175" t="s">
        <v>220</v>
      </c>
      <c r="L57" s="175" t="s">
        <v>349</v>
      </c>
      <c r="M57" s="175" t="s">
        <v>31</v>
      </c>
      <c r="N57" s="175" t="s">
        <v>82</v>
      </c>
      <c r="O57" s="175" t="s">
        <v>35</v>
      </c>
      <c r="P57" s="171"/>
      <c r="Q57" s="175" t="s">
        <v>195</v>
      </c>
      <c r="R57" s="181"/>
      <c r="S57" s="182"/>
      <c r="T57" s="183"/>
      <c r="U57" s="16">
        <v>8000000.0</v>
      </c>
      <c r="V57" s="198">
        <v>0.2</v>
      </c>
      <c r="W57" s="96">
        <f t="shared" si="125"/>
        <v>6400000</v>
      </c>
      <c r="X57" s="98">
        <f t="shared" si="126"/>
        <v>6400000</v>
      </c>
      <c r="Y57" s="99" t="str">
        <f t="shared" si="127"/>
        <v>$6M - $8M</v>
      </c>
      <c r="Z57" s="175" t="s">
        <v>86</v>
      </c>
      <c r="AA57" s="175" t="s">
        <v>87</v>
      </c>
      <c r="AB57" s="175" t="s">
        <v>88</v>
      </c>
      <c r="AC57" s="175" t="s">
        <v>493</v>
      </c>
      <c r="AD57" s="175" t="s">
        <v>39</v>
      </c>
      <c r="AE57" s="175" t="s">
        <v>39</v>
      </c>
      <c r="AF57" s="170" t="s">
        <v>493</v>
      </c>
      <c r="AG57" s="16">
        <v>1.46E11</v>
      </c>
      <c r="AH57" s="97" t="str">
        <f t="shared" si="128"/>
        <v>$100B-$250B</v>
      </c>
      <c r="AI57" s="16">
        <v>2.6E10</v>
      </c>
      <c r="AJ57" s="97" t="str">
        <f t="shared" si="129"/>
        <v>$25B-$50B</v>
      </c>
      <c r="AK57" s="199">
        <v>0.2</v>
      </c>
      <c r="AL57" s="88" t="str">
        <f t="shared" si="130"/>
        <v>10%-20%</v>
      </c>
      <c r="AM57" s="191">
        <v>7.0</v>
      </c>
      <c r="AN57" s="175" t="s">
        <v>39</v>
      </c>
      <c r="AO57" s="175" t="s">
        <v>89</v>
      </c>
      <c r="AP57" s="175" t="s">
        <v>90</v>
      </c>
      <c r="AQ57" s="143" t="s">
        <v>39</v>
      </c>
      <c r="AR57" s="143" t="s">
        <v>39</v>
      </c>
      <c r="AS57" s="175" t="s">
        <v>493</v>
      </c>
      <c r="AT57" s="175" t="s">
        <v>469</v>
      </c>
      <c r="AU57" s="175" t="s">
        <v>493</v>
      </c>
      <c r="AV57" s="175" t="s">
        <v>493</v>
      </c>
      <c r="AW57" s="16">
        <v>64847.0</v>
      </c>
      <c r="AX57" s="96" t="str">
        <f t="shared" si="131"/>
        <v>$50K - $100K</v>
      </c>
      <c r="AY57" s="16">
        <v>19434.0</v>
      </c>
      <c r="AZ57" s="21">
        <v>1150000.0</v>
      </c>
      <c r="BA57" s="103" t="str">
        <f t="shared" si="132"/>
        <v>$1M - $2M</v>
      </c>
      <c r="BB57" s="103">
        <f t="shared" si="133"/>
        <v>0.01689913043</v>
      </c>
      <c r="BC57" s="103" t="str">
        <f t="shared" si="134"/>
        <v>&lt; 10%</v>
      </c>
      <c r="BD57" s="175" t="s">
        <v>107</v>
      </c>
      <c r="BE57" s="171"/>
      <c r="BF57" s="175" t="s">
        <v>493</v>
      </c>
      <c r="BG57" s="191">
        <v>3.0</v>
      </c>
      <c r="BH57" s="191">
        <v>2.0</v>
      </c>
      <c r="BI57" s="170" t="s">
        <v>469</v>
      </c>
      <c r="BJ57" s="175" t="s">
        <v>493</v>
      </c>
      <c r="BK57" s="175" t="s">
        <v>493</v>
      </c>
      <c r="BL57" s="175" t="s">
        <v>469</v>
      </c>
      <c r="BM57" s="191">
        <v>7.0</v>
      </c>
      <c r="BN57" s="191">
        <v>7.0</v>
      </c>
      <c r="BO57" s="170">
        <v>8.0</v>
      </c>
      <c r="BP57" s="170">
        <v>3.0</v>
      </c>
      <c r="BQ57" s="130"/>
      <c r="BR57" s="191">
        <v>9.0</v>
      </c>
      <c r="BS57" s="191">
        <v>0.0</v>
      </c>
      <c r="BT57" s="191">
        <v>0.0</v>
      </c>
      <c r="BU57" s="191">
        <v>39.0</v>
      </c>
      <c r="BV57" s="175" t="s">
        <v>493</v>
      </c>
      <c r="BW57" s="130"/>
      <c r="BX57" s="170">
        <v>7.0</v>
      </c>
      <c r="BY57" s="170">
        <v>0.0</v>
      </c>
      <c r="BZ57" s="170">
        <v>0.0</v>
      </c>
      <c r="CA57" s="170">
        <v>38.0</v>
      </c>
      <c r="CB57" s="170" t="s">
        <v>469</v>
      </c>
      <c r="CC57" s="130"/>
      <c r="CD57" s="171"/>
      <c r="CE57" s="171"/>
      <c r="CF57" s="171"/>
      <c r="CG57" s="171"/>
      <c r="CH57" s="171"/>
      <c r="CI57" s="130"/>
      <c r="CJ57" s="171"/>
      <c r="CK57" s="171"/>
      <c r="CL57" s="171"/>
      <c r="CM57" s="171"/>
      <c r="CN57" s="171"/>
      <c r="CO57" s="108"/>
      <c r="CP57" s="194"/>
      <c r="CQ57" s="194"/>
      <c r="CR57" s="194"/>
      <c r="CS57" s="171"/>
      <c r="CT57" s="171"/>
      <c r="CU57" s="130"/>
      <c r="CV57" s="194"/>
      <c r="CW57" s="194"/>
      <c r="CX57" s="194"/>
      <c r="CY57" s="171"/>
      <c r="CZ57" s="171"/>
      <c r="DA57" s="130"/>
      <c r="DB57" s="194"/>
      <c r="DC57" s="194"/>
      <c r="DD57" s="194"/>
      <c r="DE57" s="171"/>
      <c r="DF57" s="171"/>
      <c r="DG57" s="130"/>
      <c r="DH57" s="194"/>
      <c r="DI57" s="194"/>
      <c r="DJ57" s="194"/>
      <c r="DK57" s="171"/>
      <c r="DL57" s="171"/>
      <c r="DM57" s="130"/>
      <c r="DN57" s="194"/>
      <c r="DO57" s="194"/>
      <c r="DP57" s="194"/>
      <c r="DQ57" s="171"/>
      <c r="DR57" s="171"/>
      <c r="DS57" s="130"/>
      <c r="DT57" s="108"/>
      <c r="DU57" s="108"/>
      <c r="DW57" s="109"/>
      <c r="DX57" s="110">
        <f t="shared" si="13"/>
        <v>8</v>
      </c>
      <c r="DY57" s="111">
        <f t="shared" ref="DY57:DZ57" si="173">sum(BS57,BY57,CE57,CK57,CQ57,CW57,DC57,DI57,DO57)</f>
        <v>0</v>
      </c>
      <c r="DZ57" s="111">
        <f t="shared" si="173"/>
        <v>0</v>
      </c>
      <c r="EA57" s="110">
        <f t="shared" si="15"/>
        <v>38.5</v>
      </c>
      <c r="EB57" s="99" t="str">
        <f t="shared" si="16"/>
        <v>35 - 54</v>
      </c>
      <c r="EC57" s="112"/>
      <c r="ED57" s="113">
        <f t="shared" si="17"/>
        <v>4.2</v>
      </c>
      <c r="EE57" s="114">
        <f>IF(V57 &lt;&gt; "", 1+((V57-MIN(discount_rates))*(4)/(MAX(discount_rates) - MIN(discount_rates))), "")</f>
        <v>3.105263158</v>
      </c>
      <c r="EF57" s="114" t="str">
        <f>IF(Q57="Debt", (1+((S57-MIN(interest_rates))*(4)/(MAX(interest_rates) - MIN(interest_rates)))), "")</f>
        <v/>
      </c>
      <c r="EG57" s="114" t="str">
        <f>IF(OR(Q57="Revenue Share", Q57="Profit Share"), (1+((R57-MIN(return_mutiples))*(4)/(MAX(return_mutiples) - MIN(return_mutiples)))), "")</f>
        <v/>
      </c>
      <c r="EH57" s="115">
        <f t="shared" si="18"/>
        <v>4.2</v>
      </c>
      <c r="EI57" s="116" t="str">
        <f t="shared" si="19"/>
        <v>SAFE</v>
      </c>
      <c r="EJ57" s="117">
        <f t="shared" si="20"/>
        <v>0.3561643836</v>
      </c>
      <c r="EK57" s="116" t="str">
        <f t="shared" si="21"/>
        <v>Early</v>
      </c>
      <c r="EL57" s="112"/>
      <c r="EM57" s="118">
        <f t="shared" si="22"/>
        <v>3.6</v>
      </c>
      <c r="EN57" s="118">
        <f t="shared" si="23"/>
        <v>2.3</v>
      </c>
      <c r="EO57" s="119">
        <f t="shared" si="24"/>
        <v>5.9</v>
      </c>
      <c r="EP57" s="115">
        <f>1+((EO57-MIN(market_ratings_sums))*(4)/(MAX(market_ratings_sums) - MIN(market_ratings_sums)))</f>
        <v>3.245614035</v>
      </c>
      <c r="EQ57" s="116" t="str">
        <f t="shared" si="25"/>
        <v>Yes</v>
      </c>
      <c r="ER57" s="112"/>
      <c r="ES57" s="123">
        <f>1+((DX57-MIN(industry_experiences))*(4)/(MAX(industry_experiences) - MIN(industry_experiences)))</f>
        <v>1.761904762</v>
      </c>
      <c r="ET57" s="123">
        <f>1+((DY57-MIN(previous_startups))*(4)/(MAX(previous_startups) - MIN(previous_startups)))</f>
        <v>1</v>
      </c>
      <c r="EU57" s="123">
        <f>1+((DZ57-MIN(exits))*(4)/(MAX(exits) - MIN(exits)))</f>
        <v>1</v>
      </c>
      <c r="EV57" s="119">
        <f t="shared" si="26"/>
        <v>3.761904762</v>
      </c>
      <c r="EW57" s="124">
        <f>1+((EV57-MIN(team_ratings_sums))*(4)/(MAX(team_ratings_sums) - MIN(team_ratings_sums)))</f>
        <v>1.417391304</v>
      </c>
      <c r="EX57" s="116" t="str">
        <f t="shared" si="27"/>
        <v>35 - 54</v>
      </c>
      <c r="EY57" s="125">
        <f t="shared" si="28"/>
        <v>0.6849315068</v>
      </c>
      <c r="EZ57" s="116">
        <f t="shared" si="29"/>
        <v>2</v>
      </c>
      <c r="FA57" s="125">
        <f t="shared" si="30"/>
        <v>0.4520547945</v>
      </c>
      <c r="FB57" s="116">
        <f t="shared" si="31"/>
        <v>7</v>
      </c>
      <c r="FC57" s="125">
        <f t="shared" si="32"/>
        <v>0.04109589041</v>
      </c>
      <c r="FD57" s="116" t="str">
        <f t="shared" si="33"/>
        <v>No</v>
      </c>
      <c r="FE57" s="125">
        <f t="shared" si="34"/>
        <v>0.7534246575</v>
      </c>
      <c r="FF57" s="116" t="str">
        <f t="shared" ref="FF57:FH57" si="174">BJ57</f>
        <v>Yes</v>
      </c>
      <c r="FG57" s="116" t="str">
        <f t="shared" si="174"/>
        <v>Yes</v>
      </c>
      <c r="FH57" s="116" t="str">
        <f t="shared" si="174"/>
        <v>No</v>
      </c>
      <c r="FI57" s="112"/>
      <c r="FJ57" s="116" t="str">
        <f t="shared" si="36"/>
        <v>Recurring</v>
      </c>
      <c r="FK57" s="125">
        <f t="shared" si="37"/>
        <v>0.397260274</v>
      </c>
      <c r="FL57" s="116" t="str">
        <f t="shared" si="38"/>
        <v>B2C</v>
      </c>
      <c r="FM57" s="125">
        <f t="shared" si="39"/>
        <v>0.397260274</v>
      </c>
      <c r="FN57" s="116" t="str">
        <f t="shared" si="40"/>
        <v>High</v>
      </c>
      <c r="FO57" s="125">
        <f t="shared" si="41"/>
        <v>0.5616438356</v>
      </c>
      <c r="FP57" s="116" t="str">
        <f t="shared" si="42"/>
        <v>High</v>
      </c>
      <c r="FQ57" s="125">
        <f t="shared" si="43"/>
        <v>0.6438356164</v>
      </c>
      <c r="FR57" s="112"/>
      <c r="FS57" s="123">
        <f t="shared" si="44"/>
        <v>5</v>
      </c>
      <c r="FT57" s="123">
        <f t="shared" si="45"/>
        <v>1.9</v>
      </c>
      <c r="FU57" s="123">
        <f t="shared" si="46"/>
        <v>5</v>
      </c>
      <c r="FV57" s="123">
        <f t="shared" si="47"/>
        <v>2.8</v>
      </c>
      <c r="FW57" s="119">
        <f t="shared" si="48"/>
        <v>14.7</v>
      </c>
      <c r="FX57" s="115">
        <f>1+((FW57-MIN(performance_ratings_sums))*(4)/(MAX(performance_ratings_sums) - MIN(performance_ratings_sums)))</f>
        <v>3.990654206</v>
      </c>
      <c r="FY57" s="116" t="str">
        <f t="shared" si="49"/>
        <v>Pre-Profit</v>
      </c>
      <c r="FZ57" s="126">
        <f t="shared" si="50"/>
        <v>0.4931506849</v>
      </c>
      <c r="GA57" s="112"/>
      <c r="GB57" s="127">
        <f t="shared" si="51"/>
        <v>3</v>
      </c>
      <c r="GC57" s="116" t="str">
        <f t="shared" si="52"/>
        <v>No</v>
      </c>
      <c r="GD57" s="126">
        <f t="shared" si="53"/>
        <v>0.7671232877</v>
      </c>
      <c r="GE57" s="126" t="str">
        <f t="shared" si="54"/>
        <v>High</v>
      </c>
      <c r="GF57" s="126">
        <f t="shared" si="55"/>
        <v>0.4520547945</v>
      </c>
      <c r="GG57" s="126" t="str">
        <f t="shared" si="56"/>
        <v>High</v>
      </c>
      <c r="GH57" s="126">
        <f t="shared" si="57"/>
        <v>0.8082191781</v>
      </c>
      <c r="GI57" s="112"/>
      <c r="GJ57" s="116"/>
      <c r="GK57" s="119">
        <f t="shared" si="58"/>
        <v>15.85365955</v>
      </c>
      <c r="GL57" s="128">
        <f>1+((GK57-MIN(ratings_sums))*(4)/(MAX(ratings_sums) - MIN(ratings_sums)))</f>
        <v>3.65713258</v>
      </c>
    </row>
    <row r="58" ht="15.75" customHeight="1">
      <c r="A58" s="200" t="s">
        <v>702</v>
      </c>
      <c r="B58" s="191">
        <v>1724320.0</v>
      </c>
      <c r="C58" s="180" t="s">
        <v>797</v>
      </c>
      <c r="D58" s="196">
        <v>43801.42013888889</v>
      </c>
      <c r="E58" s="175" t="s">
        <v>369</v>
      </c>
      <c r="F58" s="192" t="s">
        <v>798</v>
      </c>
      <c r="G58" s="192" t="s">
        <v>799</v>
      </c>
      <c r="H58" s="193">
        <v>43794.0</v>
      </c>
      <c r="I58" s="197" t="s">
        <v>800</v>
      </c>
      <c r="J58" s="197" t="s">
        <v>797</v>
      </c>
      <c r="K58" s="175" t="s">
        <v>448</v>
      </c>
      <c r="L58" s="175" t="s">
        <v>390</v>
      </c>
      <c r="M58" s="175" t="s">
        <v>81</v>
      </c>
      <c r="N58" s="175" t="s">
        <v>101</v>
      </c>
      <c r="O58" s="175" t="s">
        <v>35</v>
      </c>
      <c r="P58" s="171"/>
      <c r="Q58" s="175" t="s">
        <v>195</v>
      </c>
      <c r="R58" s="201"/>
      <c r="S58" s="202"/>
      <c r="T58" s="183"/>
      <c r="U58" s="21">
        <v>8500000.0</v>
      </c>
      <c r="V58" s="203">
        <v>0.2</v>
      </c>
      <c r="W58" s="96">
        <f t="shared" si="125"/>
        <v>6800000</v>
      </c>
      <c r="X58" s="98">
        <f t="shared" si="126"/>
        <v>6800000</v>
      </c>
      <c r="Y58" s="99" t="str">
        <f t="shared" si="127"/>
        <v>$6M - $8M</v>
      </c>
      <c r="Z58" s="175" t="s">
        <v>36</v>
      </c>
      <c r="AA58" s="175" t="s">
        <v>123</v>
      </c>
      <c r="AB58" s="175" t="s">
        <v>38</v>
      </c>
      <c r="AC58" s="175" t="s">
        <v>469</v>
      </c>
      <c r="AD58" s="175" t="s">
        <v>39</v>
      </c>
      <c r="AE58" s="175" t="s">
        <v>39</v>
      </c>
      <c r="AF58" s="170" t="s">
        <v>469</v>
      </c>
      <c r="AG58" s="16">
        <v>7.0E11</v>
      </c>
      <c r="AH58" s="97" t="str">
        <f t="shared" si="128"/>
        <v>$500B-$1T</v>
      </c>
      <c r="AI58" s="16">
        <v>2.52E11</v>
      </c>
      <c r="AJ58" s="97" t="str">
        <f t="shared" si="129"/>
        <v>$250B-$500B</v>
      </c>
      <c r="AK58" s="199">
        <v>0.06</v>
      </c>
      <c r="AL58" s="88" t="str">
        <f t="shared" si="130"/>
        <v>0%-10%</v>
      </c>
      <c r="AM58" s="191">
        <v>30.0</v>
      </c>
      <c r="AN58" s="175" t="s">
        <v>89</v>
      </c>
      <c r="AO58" s="175" t="s">
        <v>89</v>
      </c>
      <c r="AP58" s="175" t="s">
        <v>40</v>
      </c>
      <c r="AQ58" s="143" t="s">
        <v>89</v>
      </c>
      <c r="AR58" s="143" t="s">
        <v>39</v>
      </c>
      <c r="AS58" s="175" t="s">
        <v>469</v>
      </c>
      <c r="AT58" s="175" t="s">
        <v>469</v>
      </c>
      <c r="AU58" s="175" t="s">
        <v>493</v>
      </c>
      <c r="AV58" s="175" t="s">
        <v>493</v>
      </c>
      <c r="AW58" s="16">
        <v>2536240.0</v>
      </c>
      <c r="AX58" s="96" t="str">
        <f t="shared" si="131"/>
        <v>$2M - $3M</v>
      </c>
      <c r="AY58" s="16">
        <v>96958.0</v>
      </c>
      <c r="AZ58" s="21">
        <v>1000000.0</v>
      </c>
      <c r="BA58" s="103" t="str">
        <f t="shared" si="132"/>
        <v>$500K - $1M</v>
      </c>
      <c r="BB58" s="103">
        <f t="shared" si="133"/>
        <v>0.096958</v>
      </c>
      <c r="BC58" s="103" t="str">
        <f t="shared" si="134"/>
        <v>&lt; 10%</v>
      </c>
      <c r="BD58" s="175" t="s">
        <v>107</v>
      </c>
      <c r="BE58" s="171"/>
      <c r="BF58" s="175" t="s">
        <v>493</v>
      </c>
      <c r="BG58" s="170">
        <v>6.0</v>
      </c>
      <c r="BH58" s="191">
        <v>2.0</v>
      </c>
      <c r="BI58" s="170" t="s">
        <v>469</v>
      </c>
      <c r="BJ58" s="175" t="s">
        <v>493</v>
      </c>
      <c r="BK58" s="175" t="s">
        <v>469</v>
      </c>
      <c r="BL58" s="175" t="s">
        <v>469</v>
      </c>
      <c r="BM58" s="191">
        <v>2.0</v>
      </c>
      <c r="BN58" s="191">
        <v>6.0</v>
      </c>
      <c r="BO58" s="191">
        <v>1.0</v>
      </c>
      <c r="BP58" s="191">
        <v>3.0</v>
      </c>
      <c r="BQ58" s="130"/>
      <c r="BR58" s="191">
        <v>5.0</v>
      </c>
      <c r="BS58" s="191">
        <v>0.0</v>
      </c>
      <c r="BT58" s="191">
        <v>0.0</v>
      </c>
      <c r="BU58" s="191">
        <v>38.0</v>
      </c>
      <c r="BV58" s="175" t="s">
        <v>469</v>
      </c>
      <c r="BW58" s="130"/>
      <c r="BX58" s="170">
        <v>7.0</v>
      </c>
      <c r="BY58" s="170">
        <v>1.0</v>
      </c>
      <c r="BZ58" s="170">
        <v>0.0</v>
      </c>
      <c r="CA58" s="170">
        <v>30.0</v>
      </c>
      <c r="CB58" s="170" t="s">
        <v>469</v>
      </c>
      <c r="CC58" s="130"/>
      <c r="CD58" s="171"/>
      <c r="CE58" s="171"/>
      <c r="CF58" s="171"/>
      <c r="CG58" s="171"/>
      <c r="CH58" s="171"/>
      <c r="CI58" s="130"/>
      <c r="CJ58" s="171"/>
      <c r="CK58" s="171"/>
      <c r="CL58" s="171"/>
      <c r="CM58" s="171"/>
      <c r="CN58" s="171"/>
      <c r="CO58" s="108"/>
      <c r="CP58" s="171"/>
      <c r="CQ58" s="171"/>
      <c r="CR58" s="171"/>
      <c r="CS58" s="171"/>
      <c r="CT58" s="171"/>
      <c r="CU58" s="130"/>
      <c r="CV58" s="171"/>
      <c r="CW58" s="171"/>
      <c r="CX58" s="171"/>
      <c r="CY58" s="171"/>
      <c r="CZ58" s="171"/>
      <c r="DA58" s="130"/>
      <c r="DB58" s="171"/>
      <c r="DC58" s="171"/>
      <c r="DD58" s="171"/>
      <c r="DE58" s="171"/>
      <c r="DF58" s="171"/>
      <c r="DG58" s="130"/>
      <c r="DH58" s="171"/>
      <c r="DI58" s="171"/>
      <c r="DJ58" s="171"/>
      <c r="DK58" s="171"/>
      <c r="DL58" s="171"/>
      <c r="DM58" s="130"/>
      <c r="DN58" s="171"/>
      <c r="DO58" s="171"/>
      <c r="DP58" s="171"/>
      <c r="DQ58" s="171"/>
      <c r="DR58" s="171"/>
      <c r="DS58" s="130"/>
      <c r="DT58" s="108"/>
      <c r="DU58" s="108"/>
      <c r="DW58" s="109"/>
      <c r="DX58" s="110">
        <f t="shared" si="13"/>
        <v>6</v>
      </c>
      <c r="DY58" s="111">
        <f t="shared" ref="DY58:DZ58" si="175">sum(BS58,BY58,CE58,CK58,CQ58,CW58,DC58,DI58,DO58)</f>
        <v>1</v>
      </c>
      <c r="DZ58" s="111">
        <f t="shared" si="175"/>
        <v>0</v>
      </c>
      <c r="EA58" s="110">
        <f t="shared" si="15"/>
        <v>34</v>
      </c>
      <c r="EB58" s="99" t="str">
        <f t="shared" si="16"/>
        <v>20 - 34</v>
      </c>
      <c r="EC58" s="112"/>
      <c r="ED58" s="113">
        <f t="shared" si="17"/>
        <v>4.2</v>
      </c>
      <c r="EE58" s="114">
        <f>IF(V58 &lt;&gt; "", 1+((V58-MIN(discount_rates))*(4)/(MAX(discount_rates) - MIN(discount_rates))), "")</f>
        <v>3.105263158</v>
      </c>
      <c r="EF58" s="114" t="str">
        <f>IF(Q58="Debt", (1+((S58-MIN(interest_rates))*(4)/(MAX(interest_rates) - MIN(interest_rates)))), "")</f>
        <v/>
      </c>
      <c r="EG58" s="114" t="str">
        <f>IF(OR(Q58="Revenue Share", Q58="Profit Share"), (1+((R58-MIN(return_mutiples))*(4)/(MAX(return_mutiples) - MIN(return_mutiples)))), "")</f>
        <v/>
      </c>
      <c r="EH58" s="115">
        <f t="shared" si="18"/>
        <v>4.2</v>
      </c>
      <c r="EI58" s="116" t="str">
        <f t="shared" si="19"/>
        <v>SAFE</v>
      </c>
      <c r="EJ58" s="117">
        <f t="shared" si="20"/>
        <v>0.3561643836</v>
      </c>
      <c r="EK58" s="116" t="str">
        <f t="shared" si="21"/>
        <v>Growth</v>
      </c>
      <c r="EL58" s="112"/>
      <c r="EM58" s="118">
        <f t="shared" si="22"/>
        <v>4.4</v>
      </c>
      <c r="EN58" s="118">
        <f t="shared" si="23"/>
        <v>1.7</v>
      </c>
      <c r="EO58" s="119">
        <f t="shared" si="24"/>
        <v>6.1</v>
      </c>
      <c r="EP58" s="115">
        <f>1+((EO58-MIN(market_ratings_sums))*(4)/(MAX(market_ratings_sums) - MIN(market_ratings_sums)))</f>
        <v>3.385964912</v>
      </c>
      <c r="EQ58" s="116" t="str">
        <f t="shared" si="25"/>
        <v>No</v>
      </c>
      <c r="ER58" s="112"/>
      <c r="ES58" s="123">
        <f>1+((DX58-MIN(industry_experiences))*(4)/(MAX(industry_experiences) - MIN(industry_experiences)))</f>
        <v>1.571428571</v>
      </c>
      <c r="ET58" s="123">
        <f>1+((DY58-MIN(previous_startups))*(4)/(MAX(previous_startups) - MIN(previous_startups)))</f>
        <v>1.444444444</v>
      </c>
      <c r="EU58" s="123">
        <f>1+((DZ58-MIN(exits))*(4)/(MAX(exits) - MIN(exits)))</f>
        <v>1</v>
      </c>
      <c r="EV58" s="119">
        <f t="shared" si="26"/>
        <v>4.015873016</v>
      </c>
      <c r="EW58" s="124">
        <f>1+((EV58-MIN(team_ratings_sums))*(4)/(MAX(team_ratings_sums) - MIN(team_ratings_sums)))</f>
        <v>1.556521739</v>
      </c>
      <c r="EX58" s="116" t="str">
        <f t="shared" si="27"/>
        <v>20 - 34</v>
      </c>
      <c r="EY58" s="125">
        <f t="shared" si="28"/>
        <v>0.2054794521</v>
      </c>
      <c r="EZ58" s="116">
        <f t="shared" si="29"/>
        <v>2</v>
      </c>
      <c r="FA58" s="125">
        <f t="shared" si="30"/>
        <v>0.4520547945</v>
      </c>
      <c r="FB58" s="116">
        <f t="shared" si="31"/>
        <v>6</v>
      </c>
      <c r="FC58" s="125">
        <f t="shared" si="32"/>
        <v>0.06849315068</v>
      </c>
      <c r="FD58" s="116" t="str">
        <f t="shared" si="33"/>
        <v>No</v>
      </c>
      <c r="FE58" s="125">
        <f t="shared" si="34"/>
        <v>0.7534246575</v>
      </c>
      <c r="FF58" s="116" t="str">
        <f t="shared" ref="FF58:FH58" si="176">BJ58</f>
        <v>Yes</v>
      </c>
      <c r="FG58" s="116" t="str">
        <f t="shared" si="176"/>
        <v>No</v>
      </c>
      <c r="FH58" s="116" t="str">
        <f t="shared" si="176"/>
        <v>No</v>
      </c>
      <c r="FI58" s="112"/>
      <c r="FJ58" s="116" t="str">
        <f t="shared" si="36"/>
        <v>Transactional</v>
      </c>
      <c r="FK58" s="125">
        <f t="shared" si="37"/>
        <v>0.602739726</v>
      </c>
      <c r="FL58" s="116" t="str">
        <f t="shared" si="38"/>
        <v>B2B/B2C</v>
      </c>
      <c r="FM58" s="125">
        <f t="shared" si="39"/>
        <v>0.3287671233</v>
      </c>
      <c r="FN58" s="116" t="str">
        <f t="shared" si="40"/>
        <v>High</v>
      </c>
      <c r="FO58" s="125">
        <f t="shared" si="41"/>
        <v>0.5616438356</v>
      </c>
      <c r="FP58" s="116" t="str">
        <f t="shared" si="42"/>
        <v>High</v>
      </c>
      <c r="FQ58" s="125">
        <f t="shared" si="43"/>
        <v>0.6438356164</v>
      </c>
      <c r="FR58" s="112"/>
      <c r="FS58" s="123">
        <f t="shared" si="44"/>
        <v>5</v>
      </c>
      <c r="FT58" s="123">
        <f t="shared" si="45"/>
        <v>3.7</v>
      </c>
      <c r="FU58" s="123">
        <f t="shared" si="46"/>
        <v>5</v>
      </c>
      <c r="FV58" s="123">
        <f t="shared" si="47"/>
        <v>3.2</v>
      </c>
      <c r="FW58" s="119">
        <f t="shared" si="48"/>
        <v>16.9</v>
      </c>
      <c r="FX58" s="115">
        <f>1+((FW58-MIN(performance_ratings_sums))*(4)/(MAX(performance_ratings_sums) - MIN(performance_ratings_sums)))</f>
        <v>4.813084112</v>
      </c>
      <c r="FY58" s="116" t="str">
        <f t="shared" si="49"/>
        <v>Pre-Profit</v>
      </c>
      <c r="FZ58" s="126">
        <f t="shared" si="50"/>
        <v>0.4931506849</v>
      </c>
      <c r="GA58" s="112"/>
      <c r="GB58" s="127">
        <f t="shared" si="51"/>
        <v>1</v>
      </c>
      <c r="GC58" s="116" t="str">
        <f t="shared" si="52"/>
        <v>No</v>
      </c>
      <c r="GD58" s="126">
        <f t="shared" si="53"/>
        <v>0.7671232877</v>
      </c>
      <c r="GE58" s="126" t="str">
        <f t="shared" si="54"/>
        <v>Low</v>
      </c>
      <c r="GF58" s="126">
        <f t="shared" si="55"/>
        <v>0.5479452055</v>
      </c>
      <c r="GG58" s="126" t="str">
        <f t="shared" si="56"/>
        <v>High</v>
      </c>
      <c r="GH58" s="126">
        <f t="shared" si="57"/>
        <v>0.8082191781</v>
      </c>
      <c r="GI58" s="112"/>
      <c r="GJ58" s="116"/>
      <c r="GK58" s="119">
        <f t="shared" si="58"/>
        <v>14.95557076</v>
      </c>
      <c r="GL58" s="128">
        <f>1+((GK58-MIN(ratings_sums))*(4)/(MAX(ratings_sums) - MIN(ratings_sums)))</f>
        <v>3.381563047</v>
      </c>
    </row>
    <row r="59" ht="15.75" customHeight="1">
      <c r="A59" s="200" t="s">
        <v>702</v>
      </c>
      <c r="B59" s="191">
        <v>1687316.0</v>
      </c>
      <c r="C59" s="180" t="s">
        <v>801</v>
      </c>
      <c r="D59" s="196">
        <v>43801.44097222222</v>
      </c>
      <c r="E59" s="175" t="s">
        <v>392</v>
      </c>
      <c r="F59" s="192" t="s">
        <v>802</v>
      </c>
      <c r="G59" s="192" t="s">
        <v>803</v>
      </c>
      <c r="H59" s="193">
        <v>44091.0</v>
      </c>
      <c r="I59" s="197" t="s">
        <v>804</v>
      </c>
      <c r="J59" s="180" t="s">
        <v>801</v>
      </c>
      <c r="K59" s="175" t="s">
        <v>527</v>
      </c>
      <c r="L59" s="175" t="s">
        <v>390</v>
      </c>
      <c r="M59" s="175" t="s">
        <v>31</v>
      </c>
      <c r="N59" s="175" t="s">
        <v>82</v>
      </c>
      <c r="O59" s="175" t="s">
        <v>35</v>
      </c>
      <c r="P59" s="170" t="s">
        <v>104</v>
      </c>
      <c r="Q59" s="175" t="s">
        <v>121</v>
      </c>
      <c r="R59" s="201"/>
      <c r="S59" s="202"/>
      <c r="T59" s="21">
        <v>8030000.0</v>
      </c>
      <c r="U59" s="183"/>
      <c r="V59" s="203"/>
      <c r="W59" s="96" t="str">
        <f t="shared" si="125"/>
        <v/>
      </c>
      <c r="X59" s="98">
        <f t="shared" si="126"/>
        <v>8030000</v>
      </c>
      <c r="Y59" s="99" t="str">
        <f t="shared" si="127"/>
        <v>$8M - $10M</v>
      </c>
      <c r="Z59" s="175" t="s">
        <v>36</v>
      </c>
      <c r="AA59" s="175" t="s">
        <v>37</v>
      </c>
      <c r="AB59" s="175" t="s">
        <v>38</v>
      </c>
      <c r="AC59" s="175" t="s">
        <v>469</v>
      </c>
      <c r="AD59" s="175" t="s">
        <v>89</v>
      </c>
      <c r="AE59" s="175" t="s">
        <v>39</v>
      </c>
      <c r="AF59" s="170" t="s">
        <v>469</v>
      </c>
      <c r="AG59" s="16">
        <v>1.284067667E10</v>
      </c>
      <c r="AH59" s="97" t="str">
        <f t="shared" si="128"/>
        <v>$10B-$25B</v>
      </c>
      <c r="AI59" s="16">
        <v>1.284067667E10</v>
      </c>
      <c r="AJ59" s="97" t="str">
        <f t="shared" si="129"/>
        <v>$10B-$25B</v>
      </c>
      <c r="AK59" s="199">
        <v>0.046</v>
      </c>
      <c r="AL59" s="88" t="str">
        <f t="shared" si="130"/>
        <v>0%-10%</v>
      </c>
      <c r="AM59" s="191">
        <v>100.0</v>
      </c>
      <c r="AN59" s="175" t="s">
        <v>89</v>
      </c>
      <c r="AO59" s="175" t="s">
        <v>89</v>
      </c>
      <c r="AP59" s="175" t="s">
        <v>40</v>
      </c>
      <c r="AQ59" s="143" t="s">
        <v>39</v>
      </c>
      <c r="AR59" s="143" t="s">
        <v>39</v>
      </c>
      <c r="AS59" s="175" t="s">
        <v>493</v>
      </c>
      <c r="AT59" s="175" t="s">
        <v>469</v>
      </c>
      <c r="AU59" s="175" t="s">
        <v>493</v>
      </c>
      <c r="AV59" s="175" t="s">
        <v>493</v>
      </c>
      <c r="AW59" s="16">
        <v>0.0</v>
      </c>
      <c r="AX59" s="96" t="str">
        <f t="shared" si="131"/>
        <v>&lt; $10K</v>
      </c>
      <c r="AY59" s="16">
        <v>38259.0</v>
      </c>
      <c r="AZ59" s="21">
        <v>3121096.0</v>
      </c>
      <c r="BA59" s="103" t="str">
        <f t="shared" si="132"/>
        <v>$3M - $4M</v>
      </c>
      <c r="BB59" s="103">
        <f t="shared" si="133"/>
        <v>0.01225819392</v>
      </c>
      <c r="BC59" s="103" t="str">
        <f t="shared" si="134"/>
        <v>&lt; 10%</v>
      </c>
      <c r="BD59" s="175" t="s">
        <v>91</v>
      </c>
      <c r="BE59" s="171"/>
      <c r="BF59" s="175" t="s">
        <v>469</v>
      </c>
      <c r="BG59" s="170">
        <v>0.0</v>
      </c>
      <c r="BH59" s="191">
        <v>1.0</v>
      </c>
      <c r="BI59" s="90" t="s">
        <v>469</v>
      </c>
      <c r="BJ59" s="175" t="s">
        <v>493</v>
      </c>
      <c r="BK59" s="175" t="s">
        <v>469</v>
      </c>
      <c r="BL59" s="175" t="s">
        <v>469</v>
      </c>
      <c r="BM59" s="191">
        <v>1.0</v>
      </c>
      <c r="BN59" s="191">
        <v>6.0</v>
      </c>
      <c r="BO59" s="191">
        <v>0.0</v>
      </c>
      <c r="BP59" s="191">
        <v>0.0</v>
      </c>
      <c r="BQ59" s="130"/>
      <c r="BR59" s="191">
        <v>18.0</v>
      </c>
      <c r="BS59" s="191">
        <v>0.0</v>
      </c>
      <c r="BT59" s="191">
        <v>0.0</v>
      </c>
      <c r="BU59" s="191">
        <v>40.0</v>
      </c>
      <c r="BV59" s="175" t="s">
        <v>469</v>
      </c>
      <c r="BW59" s="130"/>
      <c r="BX59" s="171"/>
      <c r="BY59" s="171"/>
      <c r="BZ59" s="171"/>
      <c r="CA59" s="171"/>
      <c r="CB59" s="171"/>
      <c r="CC59" s="130"/>
      <c r="CD59" s="171"/>
      <c r="CE59" s="171"/>
      <c r="CF59" s="171"/>
      <c r="CG59" s="171"/>
      <c r="CH59" s="171"/>
      <c r="CI59" s="130"/>
      <c r="CJ59" s="171"/>
      <c r="CK59" s="171"/>
      <c r="CL59" s="171"/>
      <c r="CM59" s="171"/>
      <c r="CN59" s="171"/>
      <c r="CO59" s="108"/>
      <c r="CP59" s="194"/>
      <c r="CQ59" s="194"/>
      <c r="CR59" s="194"/>
      <c r="CS59" s="194"/>
      <c r="CT59" s="195"/>
      <c r="CU59" s="130"/>
      <c r="CV59" s="194"/>
      <c r="CW59" s="194"/>
      <c r="CX59" s="194"/>
      <c r="CY59" s="194"/>
      <c r="CZ59" s="195"/>
      <c r="DA59" s="130"/>
      <c r="DB59" s="194"/>
      <c r="DC59" s="194"/>
      <c r="DD59" s="194"/>
      <c r="DE59" s="194"/>
      <c r="DF59" s="195"/>
      <c r="DG59" s="130"/>
      <c r="DH59" s="194"/>
      <c r="DI59" s="194"/>
      <c r="DJ59" s="194"/>
      <c r="DK59" s="194"/>
      <c r="DL59" s="195"/>
      <c r="DM59" s="130"/>
      <c r="DN59" s="194"/>
      <c r="DO59" s="194"/>
      <c r="DP59" s="194"/>
      <c r="DQ59" s="194"/>
      <c r="DR59" s="195"/>
      <c r="DS59" s="130"/>
      <c r="DT59" s="108"/>
      <c r="DU59" s="108"/>
      <c r="DW59" s="109"/>
      <c r="DX59" s="110">
        <f t="shared" si="13"/>
        <v>18</v>
      </c>
      <c r="DY59" s="111">
        <f t="shared" ref="DY59:DZ59" si="177">sum(BS59,BY59,CE59,CK59,CQ59,CW59,DC59,DI59,DO59)</f>
        <v>0</v>
      </c>
      <c r="DZ59" s="111">
        <f t="shared" si="177"/>
        <v>0</v>
      </c>
      <c r="EA59" s="110">
        <f t="shared" si="15"/>
        <v>40</v>
      </c>
      <c r="EB59" s="99" t="str">
        <f t="shared" si="16"/>
        <v>35 - 54</v>
      </c>
      <c r="EC59" s="112"/>
      <c r="ED59" s="113">
        <f t="shared" si="17"/>
        <v>4</v>
      </c>
      <c r="EE59" s="114" t="str">
        <f>IF(V59 &lt;&gt; "", 1+((V59-MIN(discount_rates))*(4)/(MAX(discount_rates) - MIN(discount_rates))), "")</f>
        <v/>
      </c>
      <c r="EF59" s="114" t="str">
        <f>IF(Q59="Debt", (1+((S59-MIN(interest_rates))*(4)/(MAX(interest_rates) - MIN(interest_rates)))), "")</f>
        <v/>
      </c>
      <c r="EG59" s="114" t="str">
        <f>IF(OR(Q59="Revenue Share", Q59="Profit Share"), (1+((R59-MIN(return_mutiples))*(4)/(MAX(return_mutiples) - MIN(return_mutiples)))), "")</f>
        <v/>
      </c>
      <c r="EH59" s="115">
        <f t="shared" si="18"/>
        <v>4</v>
      </c>
      <c r="EI59" s="116" t="str">
        <f t="shared" si="19"/>
        <v>Equity - Common</v>
      </c>
      <c r="EJ59" s="117">
        <f t="shared" si="20"/>
        <v>0.3287671233</v>
      </c>
      <c r="EK59" s="116" t="str">
        <f t="shared" si="21"/>
        <v>Early</v>
      </c>
      <c r="EL59" s="112"/>
      <c r="EM59" s="118">
        <f t="shared" si="22"/>
        <v>3.3</v>
      </c>
      <c r="EN59" s="118">
        <f t="shared" si="23"/>
        <v>1.7</v>
      </c>
      <c r="EO59" s="119">
        <f t="shared" si="24"/>
        <v>5</v>
      </c>
      <c r="EP59" s="115">
        <f>1+((EO59-MIN(market_ratings_sums))*(4)/(MAX(market_ratings_sums) - MIN(market_ratings_sums)))</f>
        <v>2.614035088</v>
      </c>
      <c r="EQ59" s="116" t="str">
        <f t="shared" si="25"/>
        <v>Yes</v>
      </c>
      <c r="ER59" s="112"/>
      <c r="ES59" s="123">
        <f>1+((DX59-MIN(industry_experiences))*(4)/(MAX(industry_experiences) - MIN(industry_experiences)))</f>
        <v>2.714285714</v>
      </c>
      <c r="ET59" s="123">
        <f>1+((DY59-MIN(previous_startups))*(4)/(MAX(previous_startups) - MIN(previous_startups)))</f>
        <v>1</v>
      </c>
      <c r="EU59" s="123">
        <f>1+((DZ59-MIN(exits))*(4)/(MAX(exits) - MIN(exits)))</f>
        <v>1</v>
      </c>
      <c r="EV59" s="119">
        <f t="shared" si="26"/>
        <v>4.714285714</v>
      </c>
      <c r="EW59" s="124">
        <f>1+((EV59-MIN(team_ratings_sums))*(4)/(MAX(team_ratings_sums) - MIN(team_ratings_sums)))</f>
        <v>1.939130435</v>
      </c>
      <c r="EX59" s="116" t="str">
        <f t="shared" si="27"/>
        <v>35 - 54</v>
      </c>
      <c r="EY59" s="125">
        <f t="shared" si="28"/>
        <v>0.6849315068</v>
      </c>
      <c r="EZ59" s="116">
        <f t="shared" si="29"/>
        <v>1</v>
      </c>
      <c r="FA59" s="125">
        <f t="shared" si="30"/>
        <v>0.4383561644</v>
      </c>
      <c r="FB59" s="116">
        <f t="shared" si="31"/>
        <v>6</v>
      </c>
      <c r="FC59" s="125">
        <f t="shared" si="32"/>
        <v>0.06849315068</v>
      </c>
      <c r="FD59" s="116" t="str">
        <f t="shared" si="33"/>
        <v>No</v>
      </c>
      <c r="FE59" s="125">
        <f t="shared" si="34"/>
        <v>0.7534246575</v>
      </c>
      <c r="FF59" s="116" t="str">
        <f t="shared" ref="FF59:FH59" si="178">BJ59</f>
        <v>Yes</v>
      </c>
      <c r="FG59" s="116" t="str">
        <f t="shared" si="178"/>
        <v>No</v>
      </c>
      <c r="FH59" s="116" t="str">
        <f t="shared" si="178"/>
        <v>No</v>
      </c>
      <c r="FI59" s="112"/>
      <c r="FJ59" s="116" t="str">
        <f t="shared" si="36"/>
        <v>Transactional</v>
      </c>
      <c r="FK59" s="125">
        <f t="shared" si="37"/>
        <v>0.602739726</v>
      </c>
      <c r="FL59" s="116" t="str">
        <f t="shared" si="38"/>
        <v>B2B</v>
      </c>
      <c r="FM59" s="125">
        <f t="shared" si="39"/>
        <v>0.2465753425</v>
      </c>
      <c r="FN59" s="116" t="str">
        <f t="shared" si="40"/>
        <v>Low</v>
      </c>
      <c r="FO59" s="125">
        <f t="shared" si="41"/>
        <v>0.4383561644</v>
      </c>
      <c r="FP59" s="116" t="str">
        <f t="shared" si="42"/>
        <v>High</v>
      </c>
      <c r="FQ59" s="125">
        <f t="shared" si="43"/>
        <v>0.6438356164</v>
      </c>
      <c r="FR59" s="112"/>
      <c r="FS59" s="123">
        <f t="shared" si="44"/>
        <v>5</v>
      </c>
      <c r="FT59" s="123">
        <f t="shared" si="45"/>
        <v>1</v>
      </c>
      <c r="FU59" s="123">
        <f t="shared" si="46"/>
        <v>5</v>
      </c>
      <c r="FV59" s="123">
        <f t="shared" si="47"/>
        <v>1.9</v>
      </c>
      <c r="FW59" s="119">
        <f t="shared" si="48"/>
        <v>12.9</v>
      </c>
      <c r="FX59" s="115">
        <f>1+((FW59-MIN(performance_ratings_sums))*(4)/(MAX(performance_ratings_sums) - MIN(performance_ratings_sums)))</f>
        <v>3.317757009</v>
      </c>
      <c r="FY59" s="116" t="str">
        <f t="shared" si="49"/>
        <v>Pre-Revenue</v>
      </c>
      <c r="FZ59" s="126">
        <f t="shared" si="50"/>
        <v>0.2054794521</v>
      </c>
      <c r="GA59" s="112"/>
      <c r="GB59" s="127">
        <f t="shared" si="51"/>
        <v>1</v>
      </c>
      <c r="GC59" s="116" t="str">
        <f t="shared" si="52"/>
        <v>No</v>
      </c>
      <c r="GD59" s="126">
        <f t="shared" si="53"/>
        <v>0.7671232877</v>
      </c>
      <c r="GE59" s="126" t="str">
        <f t="shared" si="54"/>
        <v>High</v>
      </c>
      <c r="GF59" s="126">
        <f t="shared" si="55"/>
        <v>0.4520547945</v>
      </c>
      <c r="GG59" s="126" t="str">
        <f t="shared" si="56"/>
        <v>High</v>
      </c>
      <c r="GH59" s="126">
        <f t="shared" si="57"/>
        <v>0.8082191781</v>
      </c>
      <c r="GI59" s="112"/>
      <c r="GJ59" s="116"/>
      <c r="GK59" s="119">
        <f t="shared" si="58"/>
        <v>12.87092253</v>
      </c>
      <c r="GL59" s="128">
        <f>1+((GK59-MIN(ratings_sums))*(4)/(MAX(ratings_sums) - MIN(ratings_sums)))</f>
        <v>2.741909652</v>
      </c>
    </row>
    <row r="60" ht="15.75" customHeight="1">
      <c r="A60" s="176" t="s">
        <v>702</v>
      </c>
      <c r="B60" s="169">
        <v>1791397.0</v>
      </c>
      <c r="C60" s="177" t="s">
        <v>805</v>
      </c>
      <c r="D60" s="178">
        <v>43801.447222222225</v>
      </c>
      <c r="E60" s="170" t="s">
        <v>392</v>
      </c>
      <c r="F60" s="150" t="s">
        <v>806</v>
      </c>
      <c r="G60" s="150" t="s">
        <v>807</v>
      </c>
      <c r="H60" s="179">
        <v>43782.0</v>
      </c>
      <c r="I60" s="180" t="s">
        <v>808</v>
      </c>
      <c r="J60" s="180" t="s">
        <v>809</v>
      </c>
      <c r="K60" s="170" t="s">
        <v>422</v>
      </c>
      <c r="L60" s="170" t="s">
        <v>379</v>
      </c>
      <c r="M60" s="170" t="s">
        <v>81</v>
      </c>
      <c r="N60" s="170" t="s">
        <v>82</v>
      </c>
      <c r="O60" s="170" t="s">
        <v>35</v>
      </c>
      <c r="P60" s="171"/>
      <c r="Q60" s="170" t="s">
        <v>135</v>
      </c>
      <c r="R60" s="181"/>
      <c r="S60" s="182"/>
      <c r="T60" s="184">
        <v>4490000.0</v>
      </c>
      <c r="U60" s="183"/>
      <c r="V60" s="185"/>
      <c r="W60" s="96" t="str">
        <f t="shared" si="125"/>
        <v/>
      </c>
      <c r="X60" s="98">
        <f t="shared" si="126"/>
        <v>4490000</v>
      </c>
      <c r="Y60" s="99" t="str">
        <f t="shared" si="127"/>
        <v>$4M - $6M</v>
      </c>
      <c r="Z60" s="170" t="s">
        <v>86</v>
      </c>
      <c r="AA60" s="170" t="s">
        <v>87</v>
      </c>
      <c r="AB60" s="170" t="s">
        <v>88</v>
      </c>
      <c r="AC60" s="170" t="s">
        <v>493</v>
      </c>
      <c r="AD60" s="170" t="s">
        <v>89</v>
      </c>
      <c r="AE60" s="170" t="s">
        <v>39</v>
      </c>
      <c r="AF60" s="170" t="s">
        <v>469</v>
      </c>
      <c r="AG60" s="184">
        <v>1.33E10</v>
      </c>
      <c r="AH60" s="97" t="str">
        <f t="shared" si="128"/>
        <v>$10B-$25B</v>
      </c>
      <c r="AI60" s="184">
        <v>4.0E9</v>
      </c>
      <c r="AJ60" s="97" t="str">
        <f t="shared" si="129"/>
        <v>$1B-$5B</v>
      </c>
      <c r="AK60" s="186">
        <v>0.035</v>
      </c>
      <c r="AL60" s="88" t="str">
        <f t="shared" si="130"/>
        <v>0%-10%</v>
      </c>
      <c r="AM60" s="169">
        <v>25.0</v>
      </c>
      <c r="AN60" s="170" t="s">
        <v>39</v>
      </c>
      <c r="AO60" s="170" t="s">
        <v>89</v>
      </c>
      <c r="AP60" s="170" t="s">
        <v>40</v>
      </c>
      <c r="AQ60" s="100" t="s">
        <v>39</v>
      </c>
      <c r="AR60" s="100" t="s">
        <v>39</v>
      </c>
      <c r="AS60" s="170" t="s">
        <v>469</v>
      </c>
      <c r="AT60" s="170" t="s">
        <v>469</v>
      </c>
      <c r="AU60" s="170" t="s">
        <v>493</v>
      </c>
      <c r="AV60" s="170" t="s">
        <v>493</v>
      </c>
      <c r="AW60" s="184">
        <v>61265.0</v>
      </c>
      <c r="AX60" s="96" t="str">
        <f t="shared" si="131"/>
        <v>$50K - $100K</v>
      </c>
      <c r="AY60" s="184">
        <v>1030.0</v>
      </c>
      <c r="AZ60" s="184">
        <v>234790.0</v>
      </c>
      <c r="BA60" s="103" t="str">
        <f t="shared" si="132"/>
        <v>$100K - $500K</v>
      </c>
      <c r="BB60" s="103">
        <f t="shared" si="133"/>
        <v>0.004386898931</v>
      </c>
      <c r="BC60" s="103" t="str">
        <f t="shared" si="134"/>
        <v>&lt; 10%</v>
      </c>
      <c r="BD60" s="170" t="s">
        <v>107</v>
      </c>
      <c r="BE60" s="171"/>
      <c r="BF60" s="170" t="s">
        <v>469</v>
      </c>
      <c r="BG60" s="170">
        <v>0.0</v>
      </c>
      <c r="BH60" s="169">
        <v>2.0</v>
      </c>
      <c r="BI60" s="90" t="s">
        <v>469</v>
      </c>
      <c r="BJ60" s="170" t="s">
        <v>493</v>
      </c>
      <c r="BK60" s="170" t="s">
        <v>469</v>
      </c>
      <c r="BL60" s="170" t="s">
        <v>469</v>
      </c>
      <c r="BM60" s="169">
        <v>2.0</v>
      </c>
      <c r="BN60" s="169">
        <v>4.0</v>
      </c>
      <c r="BO60" s="169">
        <v>0.0</v>
      </c>
      <c r="BP60" s="169">
        <v>0.0</v>
      </c>
      <c r="BQ60" s="130"/>
      <c r="BR60" s="191">
        <v>5.0</v>
      </c>
      <c r="BS60" s="191">
        <v>2.0</v>
      </c>
      <c r="BT60" s="191">
        <v>0.0</v>
      </c>
      <c r="BU60" s="191">
        <v>38.0</v>
      </c>
      <c r="BV60" s="175" t="s">
        <v>469</v>
      </c>
      <c r="BW60" s="130"/>
      <c r="BX60" s="170">
        <v>5.0</v>
      </c>
      <c r="BY60" s="170">
        <v>0.0</v>
      </c>
      <c r="BZ60" s="170">
        <v>0.0</v>
      </c>
      <c r="CA60" s="170">
        <v>38.0</v>
      </c>
      <c r="CB60" s="170" t="s">
        <v>469</v>
      </c>
      <c r="CC60" s="130"/>
      <c r="CD60" s="171"/>
      <c r="CE60" s="171"/>
      <c r="CF60" s="171"/>
      <c r="CG60" s="171"/>
      <c r="CH60" s="171"/>
      <c r="CI60" s="130"/>
      <c r="CJ60" s="171"/>
      <c r="CK60" s="171"/>
      <c r="CL60" s="171"/>
      <c r="CM60" s="171"/>
      <c r="CN60" s="171"/>
      <c r="CO60" s="108"/>
      <c r="CP60" s="171"/>
      <c r="CQ60" s="171"/>
      <c r="CR60" s="171"/>
      <c r="CS60" s="171"/>
      <c r="CT60" s="171"/>
      <c r="CU60" s="130"/>
      <c r="CV60" s="171"/>
      <c r="CW60" s="171"/>
      <c r="CX60" s="171"/>
      <c r="CY60" s="171"/>
      <c r="CZ60" s="171"/>
      <c r="DA60" s="130"/>
      <c r="DB60" s="171"/>
      <c r="DC60" s="171"/>
      <c r="DD60" s="171"/>
      <c r="DE60" s="171"/>
      <c r="DF60" s="171"/>
      <c r="DG60" s="130"/>
      <c r="DH60" s="171"/>
      <c r="DI60" s="171"/>
      <c r="DJ60" s="171"/>
      <c r="DK60" s="171"/>
      <c r="DL60" s="171"/>
      <c r="DM60" s="130"/>
      <c r="DN60" s="171"/>
      <c r="DO60" s="171"/>
      <c r="DP60" s="171"/>
      <c r="DQ60" s="171"/>
      <c r="DR60" s="171"/>
      <c r="DS60" s="130"/>
      <c r="DT60" s="108"/>
      <c r="DU60" s="108"/>
      <c r="DW60" s="109"/>
      <c r="DX60" s="110">
        <f t="shared" si="13"/>
        <v>5</v>
      </c>
      <c r="DY60" s="111">
        <f t="shared" ref="DY60:DZ60" si="179">sum(BS60,BY60,CE60,CK60,CQ60,CW60,DC60,DI60,DO60)</f>
        <v>2</v>
      </c>
      <c r="DZ60" s="111">
        <f t="shared" si="179"/>
        <v>0</v>
      </c>
      <c r="EA60" s="110">
        <f t="shared" si="15"/>
        <v>38</v>
      </c>
      <c r="EB60" s="99" t="str">
        <f t="shared" si="16"/>
        <v>35 - 54</v>
      </c>
      <c r="EC60" s="112"/>
      <c r="ED60" s="113">
        <f t="shared" si="17"/>
        <v>4.4</v>
      </c>
      <c r="EE60" s="114" t="str">
        <f>IF(V60 &lt;&gt; "", 1+((V60-MIN(discount_rates))*(4)/(MAX(discount_rates) - MIN(discount_rates))), "")</f>
        <v/>
      </c>
      <c r="EF60" s="114" t="str">
        <f>IF(Q60="Debt", (1+((S60-MIN(interest_rates))*(4)/(MAX(interest_rates) - MIN(interest_rates)))), "")</f>
        <v/>
      </c>
      <c r="EG60" s="114" t="str">
        <f>IF(OR(Q60="Revenue Share", Q60="Profit Share"), (1+((R60-MIN(return_mutiples))*(4)/(MAX(return_mutiples) - MIN(return_mutiples)))), "")</f>
        <v/>
      </c>
      <c r="EH60" s="115">
        <f t="shared" si="18"/>
        <v>4.4</v>
      </c>
      <c r="EI60" s="116" t="str">
        <f t="shared" si="19"/>
        <v>Equity - Preferred</v>
      </c>
      <c r="EJ60" s="117">
        <f t="shared" si="20"/>
        <v>0.06849315068</v>
      </c>
      <c r="EK60" s="116" t="str">
        <f t="shared" si="21"/>
        <v>Growth</v>
      </c>
      <c r="EL60" s="112"/>
      <c r="EM60" s="118">
        <f t="shared" si="22"/>
        <v>2.7</v>
      </c>
      <c r="EN60" s="118">
        <f t="shared" si="23"/>
        <v>1.7</v>
      </c>
      <c r="EO60" s="119">
        <f t="shared" si="24"/>
        <v>4.4</v>
      </c>
      <c r="EP60" s="115">
        <f>1+((EO60-MIN(market_ratings_sums))*(4)/(MAX(market_ratings_sums) - MIN(market_ratings_sums)))</f>
        <v>2.192982456</v>
      </c>
      <c r="EQ60" s="116" t="str">
        <f t="shared" si="25"/>
        <v>No</v>
      </c>
      <c r="ER60" s="112"/>
      <c r="ES60" s="123">
        <f>1+((DX60-MIN(industry_experiences))*(4)/(MAX(industry_experiences) - MIN(industry_experiences)))</f>
        <v>1.476190476</v>
      </c>
      <c r="ET60" s="123">
        <f>1+((DY60-MIN(previous_startups))*(4)/(MAX(previous_startups) - MIN(previous_startups)))</f>
        <v>1.888888889</v>
      </c>
      <c r="EU60" s="123">
        <f>1+((DZ60-MIN(exits))*(4)/(MAX(exits) - MIN(exits)))</f>
        <v>1</v>
      </c>
      <c r="EV60" s="119">
        <f t="shared" si="26"/>
        <v>4.365079365</v>
      </c>
      <c r="EW60" s="124">
        <f>1+((EV60-MIN(team_ratings_sums))*(4)/(MAX(team_ratings_sums) - MIN(team_ratings_sums)))</f>
        <v>1.747826087</v>
      </c>
      <c r="EX60" s="116" t="str">
        <f t="shared" si="27"/>
        <v>35 - 54</v>
      </c>
      <c r="EY60" s="125">
        <f t="shared" si="28"/>
        <v>0.6849315068</v>
      </c>
      <c r="EZ60" s="116">
        <f t="shared" si="29"/>
        <v>2</v>
      </c>
      <c r="FA60" s="125">
        <f t="shared" si="30"/>
        <v>0.4520547945</v>
      </c>
      <c r="FB60" s="116">
        <f t="shared" si="31"/>
        <v>4</v>
      </c>
      <c r="FC60" s="125">
        <f t="shared" si="32"/>
        <v>0.1369863014</v>
      </c>
      <c r="FD60" s="116" t="str">
        <f t="shared" si="33"/>
        <v>No</v>
      </c>
      <c r="FE60" s="125">
        <f t="shared" si="34"/>
        <v>0.7534246575</v>
      </c>
      <c r="FF60" s="116" t="str">
        <f t="shared" ref="FF60:FH60" si="180">BJ60</f>
        <v>Yes</v>
      </c>
      <c r="FG60" s="116" t="str">
        <f t="shared" si="180"/>
        <v>No</v>
      </c>
      <c r="FH60" s="116" t="str">
        <f t="shared" si="180"/>
        <v>No</v>
      </c>
      <c r="FI60" s="112"/>
      <c r="FJ60" s="116" t="str">
        <f t="shared" si="36"/>
        <v>Recurring</v>
      </c>
      <c r="FK60" s="125">
        <f t="shared" si="37"/>
        <v>0.397260274</v>
      </c>
      <c r="FL60" s="116" t="str">
        <f t="shared" si="38"/>
        <v>B2C</v>
      </c>
      <c r="FM60" s="125">
        <f t="shared" si="39"/>
        <v>0.397260274</v>
      </c>
      <c r="FN60" s="116" t="str">
        <f t="shared" si="40"/>
        <v>Low</v>
      </c>
      <c r="FO60" s="125">
        <f t="shared" si="41"/>
        <v>0.4383561644</v>
      </c>
      <c r="FP60" s="116" t="str">
        <f t="shared" si="42"/>
        <v>High</v>
      </c>
      <c r="FQ60" s="125">
        <f t="shared" si="43"/>
        <v>0.6438356164</v>
      </c>
      <c r="FR60" s="112"/>
      <c r="FS60" s="123">
        <f t="shared" si="44"/>
        <v>5</v>
      </c>
      <c r="FT60" s="123">
        <f t="shared" si="45"/>
        <v>1.9</v>
      </c>
      <c r="FU60" s="123">
        <f t="shared" si="46"/>
        <v>5</v>
      </c>
      <c r="FV60" s="123">
        <f t="shared" si="47"/>
        <v>3.7</v>
      </c>
      <c r="FW60" s="119">
        <f t="shared" si="48"/>
        <v>15.6</v>
      </c>
      <c r="FX60" s="115">
        <f>1+((FW60-MIN(performance_ratings_sums))*(4)/(MAX(performance_ratings_sums) - MIN(performance_ratings_sums)))</f>
        <v>4.327102804</v>
      </c>
      <c r="FY60" s="116" t="str">
        <f t="shared" si="49"/>
        <v>Pre-Profit</v>
      </c>
      <c r="FZ60" s="126">
        <f t="shared" si="50"/>
        <v>0.4931506849</v>
      </c>
      <c r="GA60" s="112"/>
      <c r="GB60" s="127">
        <f t="shared" si="51"/>
        <v>3</v>
      </c>
      <c r="GC60" s="116" t="str">
        <f t="shared" si="52"/>
        <v>No</v>
      </c>
      <c r="GD60" s="126">
        <f t="shared" si="53"/>
        <v>0.7671232877</v>
      </c>
      <c r="GE60" s="126" t="str">
        <f t="shared" si="54"/>
        <v>High</v>
      </c>
      <c r="GF60" s="126">
        <f t="shared" si="55"/>
        <v>0.4520547945</v>
      </c>
      <c r="GG60" s="126" t="str">
        <f t="shared" si="56"/>
        <v>High</v>
      </c>
      <c r="GH60" s="126">
        <f t="shared" si="57"/>
        <v>0.8082191781</v>
      </c>
      <c r="GI60" s="112"/>
      <c r="GJ60" s="116"/>
      <c r="GK60" s="119">
        <f t="shared" si="58"/>
        <v>15.66791135</v>
      </c>
      <c r="GL60" s="128">
        <f>1+((GK60-MIN(ratings_sums))*(4)/(MAX(ratings_sums) - MIN(ratings_sums)))</f>
        <v>3.600137608</v>
      </c>
    </row>
    <row r="61" ht="15.75" customHeight="1">
      <c r="A61" s="176" t="s">
        <v>702</v>
      </c>
      <c r="B61" s="169">
        <v>1791127.0</v>
      </c>
      <c r="C61" s="177" t="s">
        <v>810</v>
      </c>
      <c r="D61" s="178">
        <v>43802.444444444445</v>
      </c>
      <c r="E61" s="170" t="s">
        <v>381</v>
      </c>
      <c r="F61" s="150" t="s">
        <v>811</v>
      </c>
      <c r="G61" s="150" t="s">
        <v>812</v>
      </c>
      <c r="H61" s="179">
        <v>43801.0</v>
      </c>
      <c r="I61" s="180" t="s">
        <v>813</v>
      </c>
      <c r="J61" s="180" t="s">
        <v>813</v>
      </c>
      <c r="K61" s="170" t="s">
        <v>448</v>
      </c>
      <c r="L61" s="170" t="s">
        <v>390</v>
      </c>
      <c r="M61" s="170" t="s">
        <v>81</v>
      </c>
      <c r="N61" s="170" t="s">
        <v>101</v>
      </c>
      <c r="O61" s="170" t="s">
        <v>35</v>
      </c>
      <c r="P61" s="170"/>
      <c r="Q61" s="170" t="s">
        <v>121</v>
      </c>
      <c r="R61" s="181"/>
      <c r="S61" s="182"/>
      <c r="T61" s="184">
        <v>3010000.0</v>
      </c>
      <c r="U61" s="183"/>
      <c r="V61" s="185"/>
      <c r="W61" s="96" t="str">
        <f t="shared" si="125"/>
        <v/>
      </c>
      <c r="X61" s="98">
        <f t="shared" si="126"/>
        <v>3010000</v>
      </c>
      <c r="Y61" s="99" t="str">
        <f t="shared" si="127"/>
        <v>$2M - $4M</v>
      </c>
      <c r="Z61" s="170" t="s">
        <v>36</v>
      </c>
      <c r="AA61" s="170" t="s">
        <v>123</v>
      </c>
      <c r="AB61" s="170" t="s">
        <v>38</v>
      </c>
      <c r="AC61" s="170" t="s">
        <v>469</v>
      </c>
      <c r="AD61" s="170" t="s">
        <v>89</v>
      </c>
      <c r="AE61" s="170" t="s">
        <v>39</v>
      </c>
      <c r="AF61" s="170" t="s">
        <v>469</v>
      </c>
      <c r="AG61" s="184">
        <v>1.142E11</v>
      </c>
      <c r="AH61" s="97" t="str">
        <f t="shared" si="128"/>
        <v>$100B-$250B</v>
      </c>
      <c r="AI61" s="184">
        <v>2.76E10</v>
      </c>
      <c r="AJ61" s="97" t="str">
        <f t="shared" si="129"/>
        <v>$25B-$50B</v>
      </c>
      <c r="AK61" s="186">
        <v>0.07</v>
      </c>
      <c r="AL61" s="88" t="str">
        <f t="shared" si="130"/>
        <v>0%-10%</v>
      </c>
      <c r="AM61" s="169">
        <v>2000.0</v>
      </c>
      <c r="AN61" s="170" t="s">
        <v>89</v>
      </c>
      <c r="AO61" s="170" t="s">
        <v>89</v>
      </c>
      <c r="AP61" s="170" t="s">
        <v>40</v>
      </c>
      <c r="AQ61" s="100" t="s">
        <v>89</v>
      </c>
      <c r="AR61" s="100" t="s">
        <v>39</v>
      </c>
      <c r="AS61" s="170" t="s">
        <v>469</v>
      </c>
      <c r="AT61" s="170" t="s">
        <v>469</v>
      </c>
      <c r="AU61" s="170" t="s">
        <v>493</v>
      </c>
      <c r="AV61" s="170" t="s">
        <v>493</v>
      </c>
      <c r="AW61" s="184">
        <v>369422.0</v>
      </c>
      <c r="AX61" s="96" t="str">
        <f t="shared" si="131"/>
        <v>$100K - $500K</v>
      </c>
      <c r="AY61" s="184">
        <v>6427.0</v>
      </c>
      <c r="AZ61" s="184">
        <v>0.0</v>
      </c>
      <c r="BA61" s="103" t="str">
        <f t="shared" si="132"/>
        <v>&lt; $10K</v>
      </c>
      <c r="BB61" s="103">
        <f t="shared" si="133"/>
        <v>1</v>
      </c>
      <c r="BC61" s="103" t="str">
        <f t="shared" si="134"/>
        <v>90% - 100%</v>
      </c>
      <c r="BD61" s="170" t="s">
        <v>107</v>
      </c>
      <c r="BE61" s="171"/>
      <c r="BF61" s="170" t="s">
        <v>469</v>
      </c>
      <c r="BG61" s="170">
        <v>0.0</v>
      </c>
      <c r="BH61" s="169">
        <v>1.0</v>
      </c>
      <c r="BI61" s="90" t="s">
        <v>469</v>
      </c>
      <c r="BJ61" s="170" t="s">
        <v>469</v>
      </c>
      <c r="BK61" s="170" t="s">
        <v>469</v>
      </c>
      <c r="BL61" s="170" t="s">
        <v>469</v>
      </c>
      <c r="BM61" s="169">
        <v>2.0</v>
      </c>
      <c r="BN61" s="169">
        <v>5.0</v>
      </c>
      <c r="BO61" s="169">
        <v>0.0</v>
      </c>
      <c r="BP61" s="169">
        <v>0.0</v>
      </c>
      <c r="BQ61" s="130"/>
      <c r="BR61" s="191">
        <v>5.0</v>
      </c>
      <c r="BS61" s="191">
        <v>0.0</v>
      </c>
      <c r="BT61" s="191">
        <v>0.0</v>
      </c>
      <c r="BU61" s="191">
        <v>75.0</v>
      </c>
      <c r="BV61" s="175" t="s">
        <v>469</v>
      </c>
      <c r="BW61" s="130"/>
      <c r="BX61" s="171"/>
      <c r="BY61" s="171"/>
      <c r="BZ61" s="171"/>
      <c r="CA61" s="171"/>
      <c r="CB61" s="171"/>
      <c r="CC61" s="130"/>
      <c r="CD61" s="171"/>
      <c r="CE61" s="171"/>
      <c r="CF61" s="171"/>
      <c r="CG61" s="171"/>
      <c r="CH61" s="171"/>
      <c r="CI61" s="130"/>
      <c r="CJ61" s="171"/>
      <c r="CK61" s="171"/>
      <c r="CL61" s="171"/>
      <c r="CM61" s="171"/>
      <c r="CN61" s="171"/>
      <c r="CO61" s="108"/>
      <c r="CP61" s="171"/>
      <c r="CQ61" s="171"/>
      <c r="CR61" s="171"/>
      <c r="CS61" s="171"/>
      <c r="CT61" s="171"/>
      <c r="CU61" s="130"/>
      <c r="CV61" s="171"/>
      <c r="CW61" s="171"/>
      <c r="CX61" s="171"/>
      <c r="CY61" s="171"/>
      <c r="CZ61" s="171"/>
      <c r="DA61" s="130"/>
      <c r="DB61" s="171"/>
      <c r="DC61" s="171"/>
      <c r="DD61" s="171"/>
      <c r="DE61" s="171"/>
      <c r="DF61" s="171"/>
      <c r="DG61" s="130"/>
      <c r="DH61" s="171"/>
      <c r="DI61" s="171"/>
      <c r="DJ61" s="171"/>
      <c r="DK61" s="171"/>
      <c r="DL61" s="171"/>
      <c r="DM61" s="130"/>
      <c r="DN61" s="171"/>
      <c r="DO61" s="171"/>
      <c r="DP61" s="171"/>
      <c r="DQ61" s="171"/>
      <c r="DR61" s="171"/>
      <c r="DS61" s="130"/>
      <c r="DT61" s="108"/>
      <c r="DU61" s="108"/>
      <c r="DW61" s="109"/>
      <c r="DX61" s="110">
        <f t="shared" si="13"/>
        <v>5</v>
      </c>
      <c r="DY61" s="111">
        <f t="shared" ref="DY61:DZ61" si="181">sum(BS61,BY61,CE61,CK61,CQ61,CW61,DC61,DI61,DO61)</f>
        <v>0</v>
      </c>
      <c r="DZ61" s="111">
        <f t="shared" si="181"/>
        <v>0</v>
      </c>
      <c r="EA61" s="110">
        <f t="shared" si="15"/>
        <v>75</v>
      </c>
      <c r="EB61" s="99" t="str">
        <f t="shared" si="16"/>
        <v>55+</v>
      </c>
      <c r="EC61" s="112"/>
      <c r="ED61" s="113">
        <f t="shared" si="17"/>
        <v>4.6</v>
      </c>
      <c r="EE61" s="114" t="str">
        <f>IF(V61 &lt;&gt; "", 1+((V61-MIN(discount_rates))*(4)/(MAX(discount_rates) - MIN(discount_rates))), "")</f>
        <v/>
      </c>
      <c r="EF61" s="114" t="str">
        <f>IF(Q61="Debt", (1+((S61-MIN(interest_rates))*(4)/(MAX(interest_rates) - MIN(interest_rates)))), "")</f>
        <v/>
      </c>
      <c r="EG61" s="114" t="str">
        <f>IF(OR(Q61="Revenue Share", Q61="Profit Share"), (1+((R61-MIN(return_mutiples))*(4)/(MAX(return_mutiples) - MIN(return_mutiples)))), "")</f>
        <v/>
      </c>
      <c r="EH61" s="115">
        <f t="shared" si="18"/>
        <v>4.6</v>
      </c>
      <c r="EI61" s="116" t="str">
        <f t="shared" si="19"/>
        <v>Equity - Common</v>
      </c>
      <c r="EJ61" s="117">
        <f t="shared" si="20"/>
        <v>0.3287671233</v>
      </c>
      <c r="EK61" s="116" t="str">
        <f t="shared" si="21"/>
        <v>Growth</v>
      </c>
      <c r="EL61" s="112"/>
      <c r="EM61" s="118">
        <f t="shared" si="22"/>
        <v>3.6</v>
      </c>
      <c r="EN61" s="118">
        <f t="shared" si="23"/>
        <v>1.7</v>
      </c>
      <c r="EO61" s="119">
        <f t="shared" si="24"/>
        <v>5.3</v>
      </c>
      <c r="EP61" s="115">
        <f>1+((EO61-MIN(market_ratings_sums))*(4)/(MAX(market_ratings_sums) - MIN(market_ratings_sums)))</f>
        <v>2.824561404</v>
      </c>
      <c r="EQ61" s="116" t="str">
        <f t="shared" si="25"/>
        <v>No</v>
      </c>
      <c r="ER61" s="112"/>
      <c r="ES61" s="123">
        <f>1+((DX61-MIN(industry_experiences))*(4)/(MAX(industry_experiences) - MIN(industry_experiences)))</f>
        <v>1.476190476</v>
      </c>
      <c r="ET61" s="123">
        <f>1+((DY61-MIN(previous_startups))*(4)/(MAX(previous_startups) - MIN(previous_startups)))</f>
        <v>1</v>
      </c>
      <c r="EU61" s="123">
        <f>1+((DZ61-MIN(exits))*(4)/(MAX(exits) - MIN(exits)))</f>
        <v>1</v>
      </c>
      <c r="EV61" s="119">
        <f t="shared" si="26"/>
        <v>3.476190476</v>
      </c>
      <c r="EW61" s="124">
        <f>1+((EV61-MIN(team_ratings_sums))*(4)/(MAX(team_ratings_sums) - MIN(team_ratings_sums)))</f>
        <v>1.260869565</v>
      </c>
      <c r="EX61" s="116" t="str">
        <f t="shared" si="27"/>
        <v>55+</v>
      </c>
      <c r="EY61" s="125">
        <f t="shared" si="28"/>
        <v>0.1095890411</v>
      </c>
      <c r="EZ61" s="116">
        <f t="shared" si="29"/>
        <v>1</v>
      </c>
      <c r="FA61" s="125">
        <f t="shared" si="30"/>
        <v>0.4383561644</v>
      </c>
      <c r="FB61" s="116">
        <f t="shared" si="31"/>
        <v>5</v>
      </c>
      <c r="FC61" s="125">
        <f t="shared" si="32"/>
        <v>0.1369863014</v>
      </c>
      <c r="FD61" s="116" t="str">
        <f t="shared" si="33"/>
        <v>No</v>
      </c>
      <c r="FE61" s="125">
        <f t="shared" si="34"/>
        <v>0.7534246575</v>
      </c>
      <c r="FF61" s="116" t="str">
        <f t="shared" ref="FF61:FH61" si="182">BJ61</f>
        <v>No</v>
      </c>
      <c r="FG61" s="116" t="str">
        <f t="shared" si="182"/>
        <v>No</v>
      </c>
      <c r="FH61" s="116" t="str">
        <f t="shared" si="182"/>
        <v>No</v>
      </c>
      <c r="FI61" s="112"/>
      <c r="FJ61" s="116" t="str">
        <f t="shared" si="36"/>
        <v>Transactional</v>
      </c>
      <c r="FK61" s="125">
        <f t="shared" si="37"/>
        <v>0.602739726</v>
      </c>
      <c r="FL61" s="116" t="str">
        <f t="shared" si="38"/>
        <v>B2B/B2C</v>
      </c>
      <c r="FM61" s="125">
        <f t="shared" si="39"/>
        <v>0.3287671233</v>
      </c>
      <c r="FN61" s="116" t="str">
        <f t="shared" si="40"/>
        <v>Low</v>
      </c>
      <c r="FO61" s="125">
        <f t="shared" si="41"/>
        <v>0.4383561644</v>
      </c>
      <c r="FP61" s="116" t="str">
        <f t="shared" si="42"/>
        <v>High</v>
      </c>
      <c r="FQ61" s="125">
        <f t="shared" si="43"/>
        <v>0.6438356164</v>
      </c>
      <c r="FR61" s="112"/>
      <c r="FS61" s="123">
        <f t="shared" si="44"/>
        <v>5</v>
      </c>
      <c r="FT61" s="123">
        <f t="shared" si="45"/>
        <v>2.3</v>
      </c>
      <c r="FU61" s="123">
        <f t="shared" si="46"/>
        <v>1</v>
      </c>
      <c r="FV61" s="123">
        <f t="shared" si="47"/>
        <v>5</v>
      </c>
      <c r="FW61" s="119">
        <f t="shared" si="48"/>
        <v>13.3</v>
      </c>
      <c r="FX61" s="115">
        <f>1+((FW61-MIN(performance_ratings_sums))*(4)/(MAX(performance_ratings_sums) - MIN(performance_ratings_sums)))</f>
        <v>3.46728972</v>
      </c>
      <c r="FY61" s="116" t="str">
        <f t="shared" si="49"/>
        <v>Pre-Profit</v>
      </c>
      <c r="FZ61" s="126">
        <f t="shared" si="50"/>
        <v>0.4931506849</v>
      </c>
      <c r="GA61" s="112"/>
      <c r="GB61" s="127">
        <f t="shared" si="51"/>
        <v>1</v>
      </c>
      <c r="GC61" s="116" t="str">
        <f t="shared" si="52"/>
        <v>No</v>
      </c>
      <c r="GD61" s="126">
        <f t="shared" si="53"/>
        <v>0.7671232877</v>
      </c>
      <c r="GE61" s="126" t="str">
        <f t="shared" si="54"/>
        <v>Low</v>
      </c>
      <c r="GF61" s="126">
        <f t="shared" si="55"/>
        <v>0.5479452055</v>
      </c>
      <c r="GG61" s="126" t="str">
        <f t="shared" si="56"/>
        <v>High</v>
      </c>
      <c r="GH61" s="126">
        <f t="shared" si="57"/>
        <v>0.8082191781</v>
      </c>
      <c r="GI61" s="112"/>
      <c r="GJ61" s="116"/>
      <c r="GK61" s="119">
        <f t="shared" si="58"/>
        <v>13.15272069</v>
      </c>
      <c r="GL61" s="128">
        <f>1+((GK61-MIN(ratings_sums))*(4)/(MAX(ratings_sums) - MIN(ratings_sums)))</f>
        <v>2.828376589</v>
      </c>
    </row>
    <row r="62" ht="15.75" customHeight="1">
      <c r="A62" s="176" t="s">
        <v>702</v>
      </c>
      <c r="B62" s="169">
        <v>1792508.0</v>
      </c>
      <c r="C62" s="177" t="s">
        <v>814</v>
      </c>
      <c r="D62" s="189">
        <v>43804.37222222222</v>
      </c>
      <c r="E62" s="170" t="s">
        <v>369</v>
      </c>
      <c r="F62" s="150" t="s">
        <v>815</v>
      </c>
      <c r="G62" s="150" t="s">
        <v>816</v>
      </c>
      <c r="H62" s="190">
        <v>43789.0</v>
      </c>
      <c r="I62" s="180" t="s">
        <v>817</v>
      </c>
      <c r="J62" s="180" t="s">
        <v>814</v>
      </c>
      <c r="K62" s="170" t="s">
        <v>315</v>
      </c>
      <c r="L62" s="170" t="s">
        <v>221</v>
      </c>
      <c r="M62" s="170" t="s">
        <v>31</v>
      </c>
      <c r="N62" s="170" t="s">
        <v>82</v>
      </c>
      <c r="O62" s="170" t="s">
        <v>35</v>
      </c>
      <c r="P62" s="171"/>
      <c r="Q62" s="170" t="s">
        <v>195</v>
      </c>
      <c r="R62" s="181"/>
      <c r="S62" s="182"/>
      <c r="T62" s="184"/>
      <c r="U62" s="21">
        <v>1.98E7</v>
      </c>
      <c r="V62" s="185">
        <v>0.0</v>
      </c>
      <c r="W62" s="96">
        <f t="shared" si="125"/>
        <v>19800000</v>
      </c>
      <c r="X62" s="98">
        <f t="shared" si="126"/>
        <v>19800000</v>
      </c>
      <c r="Y62" s="99" t="str">
        <f t="shared" si="127"/>
        <v>$18M - $20M</v>
      </c>
      <c r="Z62" s="170" t="s">
        <v>86</v>
      </c>
      <c r="AA62" s="170" t="s">
        <v>123</v>
      </c>
      <c r="AB62" s="170" t="s">
        <v>88</v>
      </c>
      <c r="AC62" s="170" t="s">
        <v>493</v>
      </c>
      <c r="AD62" s="170" t="s">
        <v>89</v>
      </c>
      <c r="AE62" s="170" t="s">
        <v>89</v>
      </c>
      <c r="AF62" s="170" t="s">
        <v>469</v>
      </c>
      <c r="AG62" s="184">
        <v>4.38E10</v>
      </c>
      <c r="AH62" s="97" t="str">
        <f t="shared" si="128"/>
        <v>$25B-$50B</v>
      </c>
      <c r="AI62" s="184">
        <v>4.38E10</v>
      </c>
      <c r="AJ62" s="97" t="str">
        <f t="shared" si="129"/>
        <v>$25B-$50B</v>
      </c>
      <c r="AK62" s="186">
        <v>0.01</v>
      </c>
      <c r="AL62" s="88" t="str">
        <f t="shared" si="130"/>
        <v>0%-10%</v>
      </c>
      <c r="AM62" s="169">
        <v>100.0</v>
      </c>
      <c r="AN62" s="170" t="s">
        <v>89</v>
      </c>
      <c r="AO62" s="170" t="s">
        <v>89</v>
      </c>
      <c r="AP62" s="170" t="s">
        <v>40</v>
      </c>
      <c r="AQ62" s="100" t="s">
        <v>39</v>
      </c>
      <c r="AR62" s="100" t="s">
        <v>39</v>
      </c>
      <c r="AS62" s="170" t="s">
        <v>469</v>
      </c>
      <c r="AT62" s="170" t="s">
        <v>469</v>
      </c>
      <c r="AU62" s="170" t="s">
        <v>493</v>
      </c>
      <c r="AV62" s="170" t="s">
        <v>469</v>
      </c>
      <c r="AW62" s="184">
        <v>0.0</v>
      </c>
      <c r="AX62" s="96" t="str">
        <f t="shared" si="131"/>
        <v>&lt; $10K</v>
      </c>
      <c r="AY62" s="184">
        <v>26484.0</v>
      </c>
      <c r="AZ62" s="184">
        <v>0.0</v>
      </c>
      <c r="BA62" s="103" t="str">
        <f t="shared" si="132"/>
        <v>&lt; $10K</v>
      </c>
      <c r="BB62" s="103">
        <f t="shared" si="133"/>
        <v>1</v>
      </c>
      <c r="BC62" s="103" t="str">
        <f t="shared" si="134"/>
        <v>90% - 100%</v>
      </c>
      <c r="BD62" s="170" t="s">
        <v>91</v>
      </c>
      <c r="BE62" s="171"/>
      <c r="BF62" s="170" t="s">
        <v>469</v>
      </c>
      <c r="BG62" s="169">
        <v>0.0</v>
      </c>
      <c r="BH62" s="169">
        <v>2.0</v>
      </c>
      <c r="BI62" s="170" t="s">
        <v>493</v>
      </c>
      <c r="BJ62" s="170" t="s">
        <v>469</v>
      </c>
      <c r="BK62" s="170" t="s">
        <v>469</v>
      </c>
      <c r="BL62" s="170" t="s">
        <v>469</v>
      </c>
      <c r="BM62" s="169">
        <v>2.0</v>
      </c>
      <c r="BN62" s="169">
        <v>3.0</v>
      </c>
      <c r="BO62" s="169">
        <v>1.0</v>
      </c>
      <c r="BP62" s="169">
        <v>4.0</v>
      </c>
      <c r="BQ62" s="130"/>
      <c r="BR62" s="191">
        <v>3.0</v>
      </c>
      <c r="BS62" s="191">
        <v>0.0</v>
      </c>
      <c r="BT62" s="191">
        <v>0.0</v>
      </c>
      <c r="BU62" s="191">
        <v>25.0</v>
      </c>
      <c r="BV62" s="175" t="s">
        <v>469</v>
      </c>
      <c r="BW62" s="130"/>
      <c r="BX62" s="170">
        <v>2.0</v>
      </c>
      <c r="BY62" s="170">
        <v>1.0</v>
      </c>
      <c r="BZ62" s="170">
        <v>0.0</v>
      </c>
      <c r="CA62" s="170">
        <v>36.0</v>
      </c>
      <c r="CB62" s="170" t="s">
        <v>493</v>
      </c>
      <c r="CC62" s="130"/>
      <c r="CD62" s="171"/>
      <c r="CE62" s="171"/>
      <c r="CF62" s="171"/>
      <c r="CG62" s="171"/>
      <c r="CH62" s="171"/>
      <c r="CI62" s="130"/>
      <c r="CJ62" s="171"/>
      <c r="CK62" s="171"/>
      <c r="CL62" s="171"/>
      <c r="CM62" s="171"/>
      <c r="CN62" s="171"/>
      <c r="CO62" s="108"/>
      <c r="CP62" s="171"/>
      <c r="CQ62" s="171"/>
      <c r="CR62" s="171"/>
      <c r="CS62" s="171"/>
      <c r="CT62" s="171"/>
      <c r="CU62" s="130"/>
      <c r="CV62" s="171"/>
      <c r="CW62" s="171"/>
      <c r="CX62" s="171"/>
      <c r="CY62" s="171"/>
      <c r="CZ62" s="171"/>
      <c r="DA62" s="130"/>
      <c r="DB62" s="171"/>
      <c r="DC62" s="171"/>
      <c r="DD62" s="171"/>
      <c r="DE62" s="171"/>
      <c r="DF62" s="171"/>
      <c r="DG62" s="130"/>
      <c r="DH62" s="171"/>
      <c r="DI62" s="171"/>
      <c r="DJ62" s="171"/>
      <c r="DK62" s="171"/>
      <c r="DL62" s="171"/>
      <c r="DM62" s="130"/>
      <c r="DN62" s="171"/>
      <c r="DO62" s="171"/>
      <c r="DP62" s="171"/>
      <c r="DQ62" s="171"/>
      <c r="DR62" s="171"/>
      <c r="DS62" s="130"/>
      <c r="DT62" s="108"/>
      <c r="DU62" s="108"/>
      <c r="DW62" s="109"/>
      <c r="DX62" s="110">
        <f t="shared" si="13"/>
        <v>2.5</v>
      </c>
      <c r="DY62" s="111">
        <f t="shared" ref="DY62:DZ62" si="183">sum(BS62,BY62,CE62,CK62,CQ62,CW62,DC62,DI62,DO62)</f>
        <v>1</v>
      </c>
      <c r="DZ62" s="111">
        <f t="shared" si="183"/>
        <v>0</v>
      </c>
      <c r="EA62" s="110">
        <f t="shared" si="15"/>
        <v>30.5</v>
      </c>
      <c r="EB62" s="99" t="str">
        <f t="shared" si="16"/>
        <v>20 - 34</v>
      </c>
      <c r="EC62" s="112"/>
      <c r="ED62" s="113">
        <f t="shared" si="17"/>
        <v>3.1</v>
      </c>
      <c r="EE62" s="114">
        <f>IF(V62 &lt;&gt; "", 1+((V62-MIN(discount_rates))*(4)/(MAX(discount_rates) - MIN(discount_rates))), "")</f>
        <v>1</v>
      </c>
      <c r="EF62" s="114" t="str">
        <f>IF(Q62="Debt", (1+((S62-MIN(interest_rates))*(4)/(MAX(interest_rates) - MIN(interest_rates)))), "")</f>
        <v/>
      </c>
      <c r="EG62" s="114" t="str">
        <f>IF(OR(Q62="Revenue Share", Q62="Profit Share"), (1+((R62-MIN(return_mutiples))*(4)/(MAX(return_mutiples) - MIN(return_mutiples)))), "")</f>
        <v/>
      </c>
      <c r="EH62" s="115">
        <f t="shared" si="18"/>
        <v>3.1</v>
      </c>
      <c r="EI62" s="116" t="str">
        <f t="shared" si="19"/>
        <v>SAFE</v>
      </c>
      <c r="EJ62" s="117">
        <f t="shared" si="20"/>
        <v>0.3561643836</v>
      </c>
      <c r="EK62" s="116" t="str">
        <f t="shared" si="21"/>
        <v>Early</v>
      </c>
      <c r="EL62" s="112"/>
      <c r="EM62" s="118">
        <f t="shared" si="22"/>
        <v>3.6</v>
      </c>
      <c r="EN62" s="118">
        <f t="shared" si="23"/>
        <v>1.7</v>
      </c>
      <c r="EO62" s="119">
        <f t="shared" si="24"/>
        <v>5.3</v>
      </c>
      <c r="EP62" s="115">
        <f>1+((EO62-MIN(market_ratings_sums))*(4)/(MAX(market_ratings_sums) - MIN(market_ratings_sums)))</f>
        <v>2.824561404</v>
      </c>
      <c r="EQ62" s="116" t="str">
        <f t="shared" si="25"/>
        <v>No</v>
      </c>
      <c r="ER62" s="112"/>
      <c r="ES62" s="123">
        <f>1+((DX62-MIN(industry_experiences))*(4)/(MAX(industry_experiences) - MIN(industry_experiences)))</f>
        <v>1.238095238</v>
      </c>
      <c r="ET62" s="123">
        <f>1+((DY62-MIN(previous_startups))*(4)/(MAX(previous_startups) - MIN(previous_startups)))</f>
        <v>1.444444444</v>
      </c>
      <c r="EU62" s="123">
        <f>1+((DZ62-MIN(exits))*(4)/(MAX(exits) - MIN(exits)))</f>
        <v>1</v>
      </c>
      <c r="EV62" s="119">
        <f t="shared" si="26"/>
        <v>3.682539683</v>
      </c>
      <c r="EW62" s="124">
        <f>1+((EV62-MIN(team_ratings_sums))*(4)/(MAX(team_ratings_sums) - MIN(team_ratings_sums)))</f>
        <v>1.373913043</v>
      </c>
      <c r="EX62" s="116" t="str">
        <f t="shared" si="27"/>
        <v>20 - 34</v>
      </c>
      <c r="EY62" s="125">
        <f t="shared" si="28"/>
        <v>0.2054794521</v>
      </c>
      <c r="EZ62" s="116">
        <f t="shared" si="29"/>
        <v>2</v>
      </c>
      <c r="FA62" s="125">
        <f t="shared" si="30"/>
        <v>0.4520547945</v>
      </c>
      <c r="FB62" s="116">
        <f t="shared" si="31"/>
        <v>3</v>
      </c>
      <c r="FC62" s="125">
        <f t="shared" si="32"/>
        <v>0.08219178082</v>
      </c>
      <c r="FD62" s="116" t="str">
        <f t="shared" si="33"/>
        <v>Yes</v>
      </c>
      <c r="FE62" s="125">
        <f t="shared" si="34"/>
        <v>0.2465753425</v>
      </c>
      <c r="FF62" s="116" t="str">
        <f t="shared" ref="FF62:FH62" si="184">BJ62</f>
        <v>No</v>
      </c>
      <c r="FG62" s="116" t="str">
        <f t="shared" si="184"/>
        <v>No</v>
      </c>
      <c r="FH62" s="116" t="str">
        <f t="shared" si="184"/>
        <v>No</v>
      </c>
      <c r="FI62" s="112"/>
      <c r="FJ62" s="116" t="str">
        <f t="shared" si="36"/>
        <v>Recurring</v>
      </c>
      <c r="FK62" s="125">
        <f t="shared" si="37"/>
        <v>0.397260274</v>
      </c>
      <c r="FL62" s="116" t="str">
        <f t="shared" si="38"/>
        <v>B2B/B2C</v>
      </c>
      <c r="FM62" s="125">
        <f t="shared" si="39"/>
        <v>0.3287671233</v>
      </c>
      <c r="FN62" s="116" t="str">
        <f t="shared" si="40"/>
        <v>Low</v>
      </c>
      <c r="FO62" s="125">
        <f t="shared" si="41"/>
        <v>0.4383561644</v>
      </c>
      <c r="FP62" s="116" t="str">
        <f t="shared" si="42"/>
        <v>Low</v>
      </c>
      <c r="FQ62" s="125">
        <f t="shared" si="43"/>
        <v>0.3561643836</v>
      </c>
      <c r="FR62" s="112"/>
      <c r="FS62" s="123">
        <f t="shared" si="44"/>
        <v>3</v>
      </c>
      <c r="FT62" s="123">
        <f t="shared" si="45"/>
        <v>1</v>
      </c>
      <c r="FU62" s="123">
        <f t="shared" si="46"/>
        <v>1</v>
      </c>
      <c r="FV62" s="123">
        <f t="shared" si="47"/>
        <v>5</v>
      </c>
      <c r="FW62" s="119">
        <f t="shared" si="48"/>
        <v>10</v>
      </c>
      <c r="FX62" s="115">
        <f>1+((FW62-MIN(performance_ratings_sums))*(4)/(MAX(performance_ratings_sums) - MIN(performance_ratings_sums)))</f>
        <v>2.23364486</v>
      </c>
      <c r="FY62" s="116" t="str">
        <f t="shared" si="49"/>
        <v>Pre-Revenue</v>
      </c>
      <c r="FZ62" s="126">
        <f t="shared" si="50"/>
        <v>0.2054794521</v>
      </c>
      <c r="GA62" s="112"/>
      <c r="GB62" s="127">
        <f t="shared" si="51"/>
        <v>1</v>
      </c>
      <c r="GC62" s="116" t="str">
        <f t="shared" si="52"/>
        <v>No</v>
      </c>
      <c r="GD62" s="126">
        <f t="shared" si="53"/>
        <v>0.7671232877</v>
      </c>
      <c r="GE62" s="126" t="str">
        <f t="shared" si="54"/>
        <v>High</v>
      </c>
      <c r="GF62" s="126">
        <f t="shared" si="55"/>
        <v>0.4520547945</v>
      </c>
      <c r="GG62" s="126" t="str">
        <f t="shared" si="56"/>
        <v>High</v>
      </c>
      <c r="GH62" s="126">
        <f t="shared" si="57"/>
        <v>0.8082191781</v>
      </c>
      <c r="GI62" s="112"/>
      <c r="GJ62" s="116"/>
      <c r="GK62" s="119">
        <f t="shared" si="58"/>
        <v>10.53211931</v>
      </c>
      <c r="GL62" s="128">
        <f>1+((GK62-MIN(ratings_sums))*(4)/(MAX(ratings_sums) - MIN(ratings_sums)))</f>
        <v>2.024271346</v>
      </c>
    </row>
    <row r="63" ht="15.75" customHeight="1">
      <c r="A63" s="200" t="s">
        <v>702</v>
      </c>
      <c r="B63" s="191">
        <v>1730486.0</v>
      </c>
      <c r="C63" s="180" t="s">
        <v>818</v>
      </c>
      <c r="D63" s="204">
        <v>43805.39027777778</v>
      </c>
      <c r="E63" s="175" t="s">
        <v>640</v>
      </c>
      <c r="F63" s="192" t="s">
        <v>819</v>
      </c>
      <c r="G63" s="192" t="s">
        <v>820</v>
      </c>
      <c r="H63" s="193">
        <v>43804.0</v>
      </c>
      <c r="I63" s="180" t="s">
        <v>821</v>
      </c>
      <c r="J63" s="180" t="s">
        <v>818</v>
      </c>
      <c r="K63" s="175" t="s">
        <v>471</v>
      </c>
      <c r="L63" s="175" t="s">
        <v>349</v>
      </c>
      <c r="M63" s="175" t="s">
        <v>81</v>
      </c>
      <c r="N63" s="175" t="s">
        <v>82</v>
      </c>
      <c r="O63" s="175" t="s">
        <v>35</v>
      </c>
      <c r="P63" s="171"/>
      <c r="Q63" s="175" t="s">
        <v>84</v>
      </c>
      <c r="R63" s="181"/>
      <c r="S63" s="182"/>
      <c r="T63" s="16"/>
      <c r="U63" s="17">
        <v>8000000.0</v>
      </c>
      <c r="V63" s="132">
        <v>0.0</v>
      </c>
      <c r="W63" s="96">
        <f t="shared" si="125"/>
        <v>8000000</v>
      </c>
      <c r="X63" s="98">
        <f t="shared" si="126"/>
        <v>8000000</v>
      </c>
      <c r="Y63" s="99" t="str">
        <f t="shared" si="127"/>
        <v>$6M - $8M</v>
      </c>
      <c r="Z63" s="175" t="s">
        <v>86</v>
      </c>
      <c r="AA63" s="175" t="s">
        <v>37</v>
      </c>
      <c r="AB63" s="175" t="s">
        <v>88</v>
      </c>
      <c r="AC63" s="175" t="s">
        <v>493</v>
      </c>
      <c r="AD63" s="175" t="s">
        <v>39</v>
      </c>
      <c r="AE63" s="175" t="s">
        <v>89</v>
      </c>
      <c r="AF63" s="170" t="s">
        <v>493</v>
      </c>
      <c r="AG63" s="16">
        <v>2.4547E10</v>
      </c>
      <c r="AH63" s="97" t="str">
        <f t="shared" si="128"/>
        <v>$10B-$25B</v>
      </c>
      <c r="AI63" s="16">
        <v>2.4547E10</v>
      </c>
      <c r="AJ63" s="97" t="str">
        <f t="shared" si="129"/>
        <v>$10B-$25B</v>
      </c>
      <c r="AK63" s="199">
        <v>0.095</v>
      </c>
      <c r="AL63" s="88" t="str">
        <f t="shared" si="130"/>
        <v>0%-10%</v>
      </c>
      <c r="AM63" s="191">
        <v>100.0</v>
      </c>
      <c r="AN63" s="175" t="s">
        <v>89</v>
      </c>
      <c r="AO63" s="175" t="s">
        <v>89</v>
      </c>
      <c r="AP63" s="175" t="s">
        <v>40</v>
      </c>
      <c r="AQ63" s="143" t="s">
        <v>89</v>
      </c>
      <c r="AR63" s="143" t="s">
        <v>39</v>
      </c>
      <c r="AS63" s="175" t="s">
        <v>469</v>
      </c>
      <c r="AT63" s="175" t="s">
        <v>469</v>
      </c>
      <c r="AU63" s="175" t="s">
        <v>493</v>
      </c>
      <c r="AV63" s="175" t="s">
        <v>493</v>
      </c>
      <c r="AW63" s="16">
        <v>10481.0</v>
      </c>
      <c r="AX63" s="96" t="str">
        <f t="shared" si="131"/>
        <v>$10K - $50K</v>
      </c>
      <c r="AY63" s="16">
        <v>113842.0</v>
      </c>
      <c r="AZ63" s="21">
        <v>1320000.0</v>
      </c>
      <c r="BA63" s="103" t="str">
        <f t="shared" si="132"/>
        <v>$1M - $2M</v>
      </c>
      <c r="BB63" s="103">
        <f t="shared" si="133"/>
        <v>0.08624393939</v>
      </c>
      <c r="BC63" s="103" t="str">
        <f t="shared" si="134"/>
        <v>&lt; 10%</v>
      </c>
      <c r="BD63" s="175" t="s">
        <v>107</v>
      </c>
      <c r="BE63" s="171"/>
      <c r="BF63" s="175"/>
      <c r="BG63" s="191">
        <v>0.0</v>
      </c>
      <c r="BH63" s="191">
        <v>2.0</v>
      </c>
      <c r="BI63" s="170" t="s">
        <v>493</v>
      </c>
      <c r="BJ63" s="175" t="s">
        <v>493</v>
      </c>
      <c r="BK63" s="175" t="s">
        <v>469</v>
      </c>
      <c r="BL63" s="175" t="s">
        <v>469</v>
      </c>
      <c r="BM63" s="191">
        <v>3.0</v>
      </c>
      <c r="BN63" s="191">
        <v>6.0</v>
      </c>
      <c r="BO63" s="191">
        <v>0.0</v>
      </c>
      <c r="BP63" s="191">
        <v>2.0</v>
      </c>
      <c r="BQ63" s="130"/>
      <c r="BR63" s="191">
        <v>11.0</v>
      </c>
      <c r="BS63" s="191">
        <v>1.0</v>
      </c>
      <c r="BT63" s="191">
        <v>0.0</v>
      </c>
      <c r="BU63" s="191">
        <v>39.0</v>
      </c>
      <c r="BV63" s="175" t="s">
        <v>469</v>
      </c>
      <c r="BW63" s="130"/>
      <c r="BX63" s="191">
        <v>14.0</v>
      </c>
      <c r="BY63" s="191">
        <v>0.0</v>
      </c>
      <c r="BZ63" s="191">
        <v>0.0</v>
      </c>
      <c r="CA63" s="170">
        <v>39.0</v>
      </c>
      <c r="CB63" s="170" t="s">
        <v>469</v>
      </c>
      <c r="CC63" s="130"/>
      <c r="CD63" s="171"/>
      <c r="CE63" s="171"/>
      <c r="CF63" s="171"/>
      <c r="CG63" s="171"/>
      <c r="CH63" s="171"/>
      <c r="CI63" s="130"/>
      <c r="CJ63" s="171"/>
      <c r="CK63" s="171"/>
      <c r="CL63" s="171"/>
      <c r="CM63" s="171"/>
      <c r="CN63" s="171"/>
      <c r="CO63" s="108"/>
      <c r="CP63" s="171"/>
      <c r="CQ63" s="171"/>
      <c r="CR63" s="171"/>
      <c r="CS63" s="171"/>
      <c r="CT63" s="171"/>
      <c r="CU63" s="130"/>
      <c r="CV63" s="171"/>
      <c r="CW63" s="171"/>
      <c r="CX63" s="171"/>
      <c r="CY63" s="171"/>
      <c r="CZ63" s="171"/>
      <c r="DA63" s="130"/>
      <c r="DB63" s="171"/>
      <c r="DC63" s="171"/>
      <c r="DD63" s="171"/>
      <c r="DE63" s="171"/>
      <c r="DF63" s="171"/>
      <c r="DG63" s="130"/>
      <c r="DH63" s="171"/>
      <c r="DI63" s="171"/>
      <c r="DJ63" s="171"/>
      <c r="DK63" s="171"/>
      <c r="DL63" s="171"/>
      <c r="DM63" s="130"/>
      <c r="DN63" s="171"/>
      <c r="DO63" s="171"/>
      <c r="DP63" s="171"/>
      <c r="DQ63" s="171"/>
      <c r="DR63" s="171"/>
      <c r="DS63" s="130"/>
      <c r="DT63" s="108"/>
      <c r="DU63" s="108"/>
      <c r="DW63" s="109"/>
      <c r="DX63" s="110">
        <f t="shared" si="13"/>
        <v>12.5</v>
      </c>
      <c r="DY63" s="111">
        <f t="shared" ref="DY63:DZ63" si="185">sum(BS63,BY63,CE63,CK63,CQ63,CW63,DC63,DI63,DO63)</f>
        <v>1</v>
      </c>
      <c r="DZ63" s="111">
        <f t="shared" si="185"/>
        <v>0</v>
      </c>
      <c r="EA63" s="110">
        <f t="shared" si="15"/>
        <v>39</v>
      </c>
      <c r="EB63" s="99" t="str">
        <f t="shared" si="16"/>
        <v>35 - 54</v>
      </c>
      <c r="EC63" s="112"/>
      <c r="ED63" s="113">
        <f t="shared" si="17"/>
        <v>4.2</v>
      </c>
      <c r="EE63" s="114">
        <f>IF(V63 &lt;&gt; "", 1+((V63-MIN(discount_rates))*(4)/(MAX(discount_rates) - MIN(discount_rates))), "")</f>
        <v>1</v>
      </c>
      <c r="EF63" s="114" t="str">
        <f>IF(Q63="Debt", (1+((S63-MIN(interest_rates))*(4)/(MAX(interest_rates) - MIN(interest_rates)))), "")</f>
        <v/>
      </c>
      <c r="EG63" s="114" t="str">
        <f>IF(OR(Q63="Revenue Share", Q63="Profit Share"), (1+((R63-MIN(return_mutiples))*(4)/(MAX(return_mutiples) - MIN(return_mutiples)))), "")</f>
        <v/>
      </c>
      <c r="EH63" s="115">
        <f t="shared" si="18"/>
        <v>4.2</v>
      </c>
      <c r="EI63" s="116" t="str">
        <f t="shared" si="19"/>
        <v>Convertible Note</v>
      </c>
      <c r="EJ63" s="117">
        <f t="shared" si="20"/>
        <v>0.1232876712</v>
      </c>
      <c r="EK63" s="116" t="str">
        <f t="shared" si="21"/>
        <v>Growth</v>
      </c>
      <c r="EL63" s="112"/>
      <c r="EM63" s="118">
        <f t="shared" si="22"/>
        <v>3.3</v>
      </c>
      <c r="EN63" s="118">
        <f t="shared" si="23"/>
        <v>1.7</v>
      </c>
      <c r="EO63" s="119">
        <f t="shared" si="24"/>
        <v>5</v>
      </c>
      <c r="EP63" s="115">
        <f>1+((EO63-MIN(market_ratings_sums))*(4)/(MAX(market_ratings_sums) - MIN(market_ratings_sums)))</f>
        <v>2.614035088</v>
      </c>
      <c r="EQ63" s="116" t="str">
        <f t="shared" si="25"/>
        <v>No</v>
      </c>
      <c r="ER63" s="112"/>
      <c r="ES63" s="123">
        <f>1+((DX63-MIN(industry_experiences))*(4)/(MAX(industry_experiences) - MIN(industry_experiences)))</f>
        <v>2.19047619</v>
      </c>
      <c r="ET63" s="123">
        <f>1+((DY63-MIN(previous_startups))*(4)/(MAX(previous_startups) - MIN(previous_startups)))</f>
        <v>1.444444444</v>
      </c>
      <c r="EU63" s="123">
        <f>1+((DZ63-MIN(exits))*(4)/(MAX(exits) - MIN(exits)))</f>
        <v>1</v>
      </c>
      <c r="EV63" s="119">
        <f t="shared" si="26"/>
        <v>4.634920635</v>
      </c>
      <c r="EW63" s="124">
        <f>1+((EV63-MIN(team_ratings_sums))*(4)/(MAX(team_ratings_sums) - MIN(team_ratings_sums)))</f>
        <v>1.895652174</v>
      </c>
      <c r="EX63" s="116" t="str">
        <f t="shared" si="27"/>
        <v>35 - 54</v>
      </c>
      <c r="EY63" s="125">
        <f t="shared" si="28"/>
        <v>0.6849315068</v>
      </c>
      <c r="EZ63" s="116">
        <f t="shared" si="29"/>
        <v>2</v>
      </c>
      <c r="FA63" s="125">
        <f t="shared" si="30"/>
        <v>0.4520547945</v>
      </c>
      <c r="FB63" s="116">
        <f t="shared" si="31"/>
        <v>6</v>
      </c>
      <c r="FC63" s="125">
        <f t="shared" si="32"/>
        <v>0.06849315068</v>
      </c>
      <c r="FD63" s="116" t="str">
        <f t="shared" si="33"/>
        <v>Yes</v>
      </c>
      <c r="FE63" s="125">
        <f t="shared" si="34"/>
        <v>0.2465753425</v>
      </c>
      <c r="FF63" s="116" t="str">
        <f t="shared" ref="FF63:FH63" si="186">BJ63</f>
        <v>Yes</v>
      </c>
      <c r="FG63" s="116" t="str">
        <f t="shared" si="186"/>
        <v>No</v>
      </c>
      <c r="FH63" s="116" t="str">
        <f t="shared" si="186"/>
        <v>No</v>
      </c>
      <c r="FI63" s="112"/>
      <c r="FJ63" s="116" t="str">
        <f t="shared" si="36"/>
        <v>Recurring</v>
      </c>
      <c r="FK63" s="125">
        <f t="shared" si="37"/>
        <v>0.397260274</v>
      </c>
      <c r="FL63" s="116" t="str">
        <f t="shared" si="38"/>
        <v>B2B</v>
      </c>
      <c r="FM63" s="125">
        <f t="shared" si="39"/>
        <v>0.2465753425</v>
      </c>
      <c r="FN63" s="116" t="str">
        <f t="shared" si="40"/>
        <v>High</v>
      </c>
      <c r="FO63" s="125">
        <f t="shared" si="41"/>
        <v>0.5616438356</v>
      </c>
      <c r="FP63" s="116" t="str">
        <f t="shared" si="42"/>
        <v>Low</v>
      </c>
      <c r="FQ63" s="125">
        <f t="shared" si="43"/>
        <v>0.3561643836</v>
      </c>
      <c r="FR63" s="112"/>
      <c r="FS63" s="123">
        <f t="shared" si="44"/>
        <v>5</v>
      </c>
      <c r="FT63" s="123">
        <f t="shared" si="45"/>
        <v>1.4</v>
      </c>
      <c r="FU63" s="123">
        <f t="shared" si="46"/>
        <v>5</v>
      </c>
      <c r="FV63" s="123">
        <f t="shared" si="47"/>
        <v>2.8</v>
      </c>
      <c r="FW63" s="119">
        <f t="shared" si="48"/>
        <v>14.2</v>
      </c>
      <c r="FX63" s="115">
        <f>1+((FW63-MIN(performance_ratings_sums))*(4)/(MAX(performance_ratings_sums) - MIN(performance_ratings_sums)))</f>
        <v>3.803738318</v>
      </c>
      <c r="FY63" s="116" t="str">
        <f t="shared" si="49"/>
        <v>Pre-Profit</v>
      </c>
      <c r="FZ63" s="126">
        <f t="shared" si="50"/>
        <v>0.4931506849</v>
      </c>
      <c r="GA63" s="112"/>
      <c r="GB63" s="127">
        <f t="shared" si="51"/>
        <v>1</v>
      </c>
      <c r="GC63" s="116" t="str">
        <f t="shared" si="52"/>
        <v>No</v>
      </c>
      <c r="GD63" s="126">
        <f t="shared" si="53"/>
        <v>0.7671232877</v>
      </c>
      <c r="GE63" s="126" t="str">
        <f t="shared" si="54"/>
        <v>Low</v>
      </c>
      <c r="GF63" s="126">
        <f t="shared" si="55"/>
        <v>0.5479452055</v>
      </c>
      <c r="GG63" s="126" t="str">
        <f t="shared" si="56"/>
        <v>High</v>
      </c>
      <c r="GH63" s="126">
        <f t="shared" si="57"/>
        <v>0.8082191781</v>
      </c>
      <c r="GI63" s="112"/>
      <c r="GJ63" s="116"/>
      <c r="GK63" s="119">
        <f t="shared" si="58"/>
        <v>13.51342558</v>
      </c>
      <c r="GL63" s="128">
        <f>1+((GK63-MIN(ratings_sums))*(4)/(MAX(ratings_sums) - MIN(ratings_sums)))</f>
        <v>2.939055266</v>
      </c>
    </row>
    <row r="64" ht="15.75" customHeight="1">
      <c r="A64" s="176" t="s">
        <v>702</v>
      </c>
      <c r="B64" s="169">
        <v>1730486.0</v>
      </c>
      <c r="C64" s="177" t="s">
        <v>822</v>
      </c>
      <c r="D64" s="178">
        <v>43805.39375</v>
      </c>
      <c r="E64" s="170" t="s">
        <v>369</v>
      </c>
      <c r="F64" s="150" t="s">
        <v>823</v>
      </c>
      <c r="G64" s="150" t="s">
        <v>824</v>
      </c>
      <c r="H64" s="179">
        <v>43804.0</v>
      </c>
      <c r="I64" s="180" t="s">
        <v>825</v>
      </c>
      <c r="J64" s="180" t="s">
        <v>822</v>
      </c>
      <c r="K64" s="170" t="s">
        <v>492</v>
      </c>
      <c r="L64" s="170" t="s">
        <v>349</v>
      </c>
      <c r="M64" s="170" t="s">
        <v>81</v>
      </c>
      <c r="N64" s="170" t="s">
        <v>101</v>
      </c>
      <c r="O64" s="170" t="s">
        <v>35</v>
      </c>
      <c r="P64" s="171"/>
      <c r="Q64" s="170" t="s">
        <v>195</v>
      </c>
      <c r="R64" s="181"/>
      <c r="S64" s="182"/>
      <c r="T64" s="184"/>
      <c r="U64" s="21">
        <v>5000000.0</v>
      </c>
      <c r="V64" s="185">
        <v>0.2</v>
      </c>
      <c r="W64" s="96">
        <f t="shared" si="125"/>
        <v>4000000</v>
      </c>
      <c r="X64" s="98">
        <f t="shared" si="126"/>
        <v>4000000</v>
      </c>
      <c r="Y64" s="99" t="str">
        <f t="shared" si="127"/>
        <v>$2M - $4M</v>
      </c>
      <c r="Z64" s="170" t="s">
        <v>86</v>
      </c>
      <c r="AA64" s="170" t="s">
        <v>87</v>
      </c>
      <c r="AB64" s="170" t="s">
        <v>88</v>
      </c>
      <c r="AC64" s="170" t="s">
        <v>493</v>
      </c>
      <c r="AD64" s="170" t="s">
        <v>39</v>
      </c>
      <c r="AE64" s="170" t="s">
        <v>89</v>
      </c>
      <c r="AF64" s="170" t="s">
        <v>469</v>
      </c>
      <c r="AG64" s="184">
        <v>1.8E9</v>
      </c>
      <c r="AH64" s="97" t="str">
        <f t="shared" si="128"/>
        <v>$1B-$5B</v>
      </c>
      <c r="AI64" s="184">
        <v>1.8E9</v>
      </c>
      <c r="AJ64" s="97" t="str">
        <f t="shared" si="129"/>
        <v>$1B-$5B</v>
      </c>
      <c r="AK64" s="186">
        <v>0.029</v>
      </c>
      <c r="AL64" s="88" t="str">
        <f t="shared" si="130"/>
        <v>0%-10%</v>
      </c>
      <c r="AM64" s="169">
        <v>20.0</v>
      </c>
      <c r="AN64" s="170" t="s">
        <v>39</v>
      </c>
      <c r="AO64" s="170" t="s">
        <v>39</v>
      </c>
      <c r="AP64" s="170" t="s">
        <v>90</v>
      </c>
      <c r="AQ64" s="100" t="s">
        <v>39</v>
      </c>
      <c r="AR64" s="100" t="s">
        <v>39</v>
      </c>
      <c r="AS64" s="170" t="s">
        <v>493</v>
      </c>
      <c r="AT64" s="170" t="s">
        <v>493</v>
      </c>
      <c r="AU64" s="170" t="s">
        <v>493</v>
      </c>
      <c r="AV64" s="170" t="s">
        <v>493</v>
      </c>
      <c r="AW64" s="184">
        <v>214993.0</v>
      </c>
      <c r="AX64" s="96" t="str">
        <f t="shared" si="131"/>
        <v>$100K - $500K</v>
      </c>
      <c r="AY64" s="184">
        <v>9006.0</v>
      </c>
      <c r="AZ64" s="184">
        <v>570000.0</v>
      </c>
      <c r="BA64" s="103" t="str">
        <f t="shared" si="132"/>
        <v>$500K - $1M</v>
      </c>
      <c r="BB64" s="103">
        <f t="shared" si="133"/>
        <v>0.0158</v>
      </c>
      <c r="BC64" s="103" t="str">
        <f t="shared" si="134"/>
        <v>&lt; 10%</v>
      </c>
      <c r="BD64" s="170" t="s">
        <v>107</v>
      </c>
      <c r="BE64" s="171"/>
      <c r="BF64" s="170" t="s">
        <v>469</v>
      </c>
      <c r="BG64" s="169">
        <v>0.0</v>
      </c>
      <c r="BH64" s="169">
        <v>2.0</v>
      </c>
      <c r="BI64" s="170" t="s">
        <v>493</v>
      </c>
      <c r="BJ64" s="170" t="s">
        <v>469</v>
      </c>
      <c r="BK64" s="170" t="s">
        <v>469</v>
      </c>
      <c r="BL64" s="170" t="s">
        <v>469</v>
      </c>
      <c r="BM64" s="169">
        <v>3.0</v>
      </c>
      <c r="BN64" s="169">
        <v>5.0</v>
      </c>
      <c r="BO64" s="169">
        <v>0.0</v>
      </c>
      <c r="BP64" s="169">
        <v>0.0</v>
      </c>
      <c r="BQ64" s="130"/>
      <c r="BR64" s="191">
        <v>10.0</v>
      </c>
      <c r="BS64" s="191">
        <v>0.0</v>
      </c>
      <c r="BT64" s="191">
        <v>0.0</v>
      </c>
      <c r="BU64" s="191">
        <v>30.0</v>
      </c>
      <c r="BV64" s="175" t="s">
        <v>469</v>
      </c>
      <c r="BW64" s="130"/>
      <c r="BX64" s="191">
        <v>10.0</v>
      </c>
      <c r="BY64" s="191">
        <v>0.0</v>
      </c>
      <c r="BZ64" s="191">
        <v>0.0</v>
      </c>
      <c r="CA64" s="191">
        <v>35.0</v>
      </c>
      <c r="CB64" s="170" t="s">
        <v>469</v>
      </c>
      <c r="CC64" s="130"/>
      <c r="CD64" s="171"/>
      <c r="CE64" s="171"/>
      <c r="CF64" s="171"/>
      <c r="CG64" s="171"/>
      <c r="CH64" s="171"/>
      <c r="CI64" s="130"/>
      <c r="CJ64" s="171"/>
      <c r="CK64" s="171"/>
      <c r="CL64" s="171"/>
      <c r="CM64" s="171"/>
      <c r="CN64" s="171"/>
      <c r="CO64" s="108"/>
      <c r="CP64" s="194"/>
      <c r="CQ64" s="194"/>
      <c r="CR64" s="194"/>
      <c r="CS64" s="171"/>
      <c r="CT64" s="171"/>
      <c r="CU64" s="130"/>
      <c r="CV64" s="194"/>
      <c r="CW64" s="194"/>
      <c r="CX64" s="194"/>
      <c r="CY64" s="171"/>
      <c r="CZ64" s="171"/>
      <c r="DA64" s="130"/>
      <c r="DB64" s="194"/>
      <c r="DC64" s="194"/>
      <c r="DD64" s="194"/>
      <c r="DE64" s="171"/>
      <c r="DF64" s="171"/>
      <c r="DG64" s="130"/>
      <c r="DH64" s="194"/>
      <c r="DI64" s="194"/>
      <c r="DJ64" s="194"/>
      <c r="DK64" s="171"/>
      <c r="DL64" s="171"/>
      <c r="DM64" s="130"/>
      <c r="DN64" s="194"/>
      <c r="DO64" s="194"/>
      <c r="DP64" s="194"/>
      <c r="DQ64" s="171"/>
      <c r="DR64" s="171"/>
      <c r="DS64" s="130"/>
      <c r="DT64" s="108"/>
      <c r="DU64" s="108"/>
      <c r="DW64" s="109"/>
      <c r="DX64" s="110">
        <f t="shared" si="13"/>
        <v>10</v>
      </c>
      <c r="DY64" s="111">
        <f t="shared" ref="DY64:DZ64" si="187">sum(BS64,BY64,CE64,CK64,CQ64,CW64,DC64,DI64,DO64)</f>
        <v>0</v>
      </c>
      <c r="DZ64" s="111">
        <f t="shared" si="187"/>
        <v>0</v>
      </c>
      <c r="EA64" s="110">
        <f t="shared" si="15"/>
        <v>32.5</v>
      </c>
      <c r="EB64" s="99" t="str">
        <f t="shared" si="16"/>
        <v>20 - 34</v>
      </c>
      <c r="EC64" s="112"/>
      <c r="ED64" s="113">
        <f t="shared" si="17"/>
        <v>4.6</v>
      </c>
      <c r="EE64" s="114">
        <f>IF(V64 &lt;&gt; "", 1+((V64-MIN(discount_rates))*(4)/(MAX(discount_rates) - MIN(discount_rates))), "")</f>
        <v>3.105263158</v>
      </c>
      <c r="EF64" s="114" t="str">
        <f>IF(Q64="Debt", (1+((S64-MIN(interest_rates))*(4)/(MAX(interest_rates) - MIN(interest_rates)))), "")</f>
        <v/>
      </c>
      <c r="EG64" s="114" t="str">
        <f>IF(OR(Q64="Revenue Share", Q64="Profit Share"), (1+((R64-MIN(return_mutiples))*(4)/(MAX(return_mutiples) - MIN(return_mutiples)))), "")</f>
        <v/>
      </c>
      <c r="EH64" s="115">
        <f t="shared" si="18"/>
        <v>4.6</v>
      </c>
      <c r="EI64" s="116" t="str">
        <f t="shared" si="19"/>
        <v>SAFE</v>
      </c>
      <c r="EJ64" s="117">
        <f t="shared" si="20"/>
        <v>0.3561643836</v>
      </c>
      <c r="EK64" s="116" t="str">
        <f t="shared" si="21"/>
        <v>Growth</v>
      </c>
      <c r="EL64" s="112"/>
      <c r="EM64" s="118">
        <f t="shared" si="22"/>
        <v>2.7</v>
      </c>
      <c r="EN64" s="118">
        <f t="shared" si="23"/>
        <v>1.7</v>
      </c>
      <c r="EO64" s="119">
        <f t="shared" si="24"/>
        <v>4.4</v>
      </c>
      <c r="EP64" s="115">
        <f>1+((EO64-MIN(market_ratings_sums))*(4)/(MAX(market_ratings_sums) - MIN(market_ratings_sums)))</f>
        <v>2.192982456</v>
      </c>
      <c r="EQ64" s="116" t="str">
        <f t="shared" si="25"/>
        <v>Yes</v>
      </c>
      <c r="ER64" s="112"/>
      <c r="ES64" s="123">
        <f>1+((DX64-MIN(industry_experiences))*(4)/(MAX(industry_experiences) - MIN(industry_experiences)))</f>
        <v>1.952380952</v>
      </c>
      <c r="ET64" s="123">
        <f>1+((DY64-MIN(previous_startups))*(4)/(MAX(previous_startups) - MIN(previous_startups)))</f>
        <v>1</v>
      </c>
      <c r="EU64" s="123">
        <f>1+((DZ64-MIN(exits))*(4)/(MAX(exits) - MIN(exits)))</f>
        <v>1</v>
      </c>
      <c r="EV64" s="119">
        <f t="shared" si="26"/>
        <v>3.952380952</v>
      </c>
      <c r="EW64" s="124">
        <f>1+((EV64-MIN(team_ratings_sums))*(4)/(MAX(team_ratings_sums) - MIN(team_ratings_sums)))</f>
        <v>1.52173913</v>
      </c>
      <c r="EX64" s="116" t="str">
        <f t="shared" si="27"/>
        <v>20 - 34</v>
      </c>
      <c r="EY64" s="125">
        <f t="shared" si="28"/>
        <v>0.2054794521</v>
      </c>
      <c r="EZ64" s="116">
        <f t="shared" si="29"/>
        <v>2</v>
      </c>
      <c r="FA64" s="125">
        <f t="shared" si="30"/>
        <v>0.4520547945</v>
      </c>
      <c r="FB64" s="116">
        <f t="shared" si="31"/>
        <v>5</v>
      </c>
      <c r="FC64" s="125">
        <f t="shared" si="32"/>
        <v>0.1369863014</v>
      </c>
      <c r="FD64" s="116" t="str">
        <f t="shared" si="33"/>
        <v>Yes</v>
      </c>
      <c r="FE64" s="125">
        <f t="shared" si="34"/>
        <v>0.2465753425</v>
      </c>
      <c r="FF64" s="116" t="str">
        <f t="shared" ref="FF64:FH64" si="188">BJ64</f>
        <v>No</v>
      </c>
      <c r="FG64" s="116" t="str">
        <f t="shared" si="188"/>
        <v>No</v>
      </c>
      <c r="FH64" s="116" t="str">
        <f t="shared" si="188"/>
        <v>No</v>
      </c>
      <c r="FI64" s="112"/>
      <c r="FJ64" s="116" t="str">
        <f t="shared" si="36"/>
        <v>Recurring</v>
      </c>
      <c r="FK64" s="125">
        <f t="shared" si="37"/>
        <v>0.397260274</v>
      </c>
      <c r="FL64" s="116" t="str">
        <f t="shared" si="38"/>
        <v>B2C</v>
      </c>
      <c r="FM64" s="125">
        <f t="shared" si="39"/>
        <v>0.397260274</v>
      </c>
      <c r="FN64" s="116" t="str">
        <f t="shared" si="40"/>
        <v>High</v>
      </c>
      <c r="FO64" s="125">
        <f t="shared" si="41"/>
        <v>0.5616438356</v>
      </c>
      <c r="FP64" s="116" t="str">
        <f t="shared" si="42"/>
        <v>Low</v>
      </c>
      <c r="FQ64" s="125">
        <f t="shared" si="43"/>
        <v>0.3561643836</v>
      </c>
      <c r="FR64" s="112"/>
      <c r="FS64" s="123">
        <f t="shared" si="44"/>
        <v>5</v>
      </c>
      <c r="FT64" s="123">
        <f t="shared" si="45"/>
        <v>2.3</v>
      </c>
      <c r="FU64" s="123">
        <f t="shared" si="46"/>
        <v>5</v>
      </c>
      <c r="FV64" s="123">
        <f t="shared" si="47"/>
        <v>3.2</v>
      </c>
      <c r="FW64" s="119">
        <f t="shared" si="48"/>
        <v>15.5</v>
      </c>
      <c r="FX64" s="115">
        <f>1+((FW64-MIN(performance_ratings_sums))*(4)/(MAX(performance_ratings_sums) - MIN(performance_ratings_sums)))</f>
        <v>4.289719626</v>
      </c>
      <c r="FY64" s="116" t="str">
        <f t="shared" si="49"/>
        <v>Pre-Profit</v>
      </c>
      <c r="FZ64" s="126">
        <f t="shared" si="50"/>
        <v>0.4931506849</v>
      </c>
      <c r="GA64" s="112"/>
      <c r="GB64" s="127">
        <f t="shared" si="51"/>
        <v>5</v>
      </c>
      <c r="GC64" s="116" t="str">
        <f t="shared" si="52"/>
        <v>Yes</v>
      </c>
      <c r="GD64" s="126">
        <f t="shared" si="53"/>
        <v>0.2328767123</v>
      </c>
      <c r="GE64" s="126" t="str">
        <f t="shared" si="54"/>
        <v>High</v>
      </c>
      <c r="GF64" s="126">
        <f t="shared" si="55"/>
        <v>0.4520547945</v>
      </c>
      <c r="GG64" s="126" t="str">
        <f t="shared" si="56"/>
        <v>High</v>
      </c>
      <c r="GH64" s="126">
        <f t="shared" si="57"/>
        <v>0.8082191781</v>
      </c>
      <c r="GI64" s="112"/>
      <c r="GJ64" s="116"/>
      <c r="GK64" s="119">
        <f t="shared" si="58"/>
        <v>17.60444121</v>
      </c>
      <c r="GL64" s="128">
        <f>1+((GK64-MIN(ratings_sums))*(4)/(MAX(ratings_sums) - MIN(ratings_sums)))</f>
        <v>4.194342369</v>
      </c>
    </row>
    <row r="65" ht="15.75" customHeight="1">
      <c r="A65" s="176" t="s">
        <v>702</v>
      </c>
      <c r="B65" s="169">
        <v>1791739.0</v>
      </c>
      <c r="C65" s="177" t="s">
        <v>826</v>
      </c>
      <c r="D65" s="189">
        <v>43805.39861111111</v>
      </c>
      <c r="E65" s="170" t="s">
        <v>381</v>
      </c>
      <c r="F65" s="150" t="s">
        <v>827</v>
      </c>
      <c r="G65" s="150" t="s">
        <v>828</v>
      </c>
      <c r="H65" s="190">
        <v>43804.0</v>
      </c>
      <c r="I65" s="180" t="s">
        <v>829</v>
      </c>
      <c r="J65" s="180" t="s">
        <v>830</v>
      </c>
      <c r="K65" s="170" t="s">
        <v>448</v>
      </c>
      <c r="L65" s="170" t="s">
        <v>390</v>
      </c>
      <c r="M65" s="170" t="s">
        <v>81</v>
      </c>
      <c r="N65" s="170" t="s">
        <v>119</v>
      </c>
      <c r="O65" s="170" t="s">
        <v>35</v>
      </c>
      <c r="P65" s="171"/>
      <c r="Q65" s="170" t="s">
        <v>121</v>
      </c>
      <c r="R65" s="181"/>
      <c r="S65" s="182"/>
      <c r="T65" s="184">
        <v>1.28E7</v>
      </c>
      <c r="U65" s="183"/>
      <c r="V65" s="185"/>
      <c r="W65" s="96" t="str">
        <f t="shared" si="125"/>
        <v/>
      </c>
      <c r="X65" s="98">
        <f t="shared" si="126"/>
        <v>12800000</v>
      </c>
      <c r="Y65" s="99" t="str">
        <f t="shared" si="127"/>
        <v>$12M - $14M</v>
      </c>
      <c r="Z65" s="170" t="s">
        <v>36</v>
      </c>
      <c r="AA65" s="170" t="s">
        <v>123</v>
      </c>
      <c r="AB65" s="170" t="s">
        <v>38</v>
      </c>
      <c r="AC65" s="170" t="s">
        <v>469</v>
      </c>
      <c r="AD65" s="170" t="s">
        <v>39</v>
      </c>
      <c r="AE65" s="170" t="s">
        <v>39</v>
      </c>
      <c r="AF65" s="170" t="s">
        <v>469</v>
      </c>
      <c r="AG65" s="184">
        <v>5.3163084E8</v>
      </c>
      <c r="AH65" s="97" t="str">
        <f t="shared" si="128"/>
        <v>$500M-$1B</v>
      </c>
      <c r="AI65" s="184">
        <v>5.3163084E8</v>
      </c>
      <c r="AJ65" s="97" t="str">
        <f t="shared" si="129"/>
        <v>$500M-$1B</v>
      </c>
      <c r="AK65" s="186">
        <v>0.251</v>
      </c>
      <c r="AL65" s="88" t="str">
        <f t="shared" si="130"/>
        <v>20%-30%</v>
      </c>
      <c r="AM65" s="169">
        <v>100.0</v>
      </c>
      <c r="AN65" s="170" t="s">
        <v>89</v>
      </c>
      <c r="AO65" s="170" t="s">
        <v>89</v>
      </c>
      <c r="AP65" s="170" t="s">
        <v>40</v>
      </c>
      <c r="AQ65" s="100" t="s">
        <v>89</v>
      </c>
      <c r="AR65" s="100" t="s">
        <v>39</v>
      </c>
      <c r="AS65" s="170" t="s">
        <v>469</v>
      </c>
      <c r="AT65" s="170" t="s">
        <v>469</v>
      </c>
      <c r="AU65" s="170" t="s">
        <v>493</v>
      </c>
      <c r="AV65" s="170" t="s">
        <v>493</v>
      </c>
      <c r="AW65" s="184">
        <v>3896701.0</v>
      </c>
      <c r="AX65" s="96" t="str">
        <f t="shared" si="131"/>
        <v>$3M - $4M</v>
      </c>
      <c r="AY65" s="184">
        <v>79802.0</v>
      </c>
      <c r="AZ65" s="184">
        <v>0.0</v>
      </c>
      <c r="BA65" s="103" t="str">
        <f t="shared" si="132"/>
        <v>&lt; $10K</v>
      </c>
      <c r="BB65" s="103">
        <f t="shared" si="133"/>
        <v>1</v>
      </c>
      <c r="BC65" s="103" t="str">
        <f t="shared" si="134"/>
        <v>90% - 100%</v>
      </c>
      <c r="BD65" s="170" t="s">
        <v>107</v>
      </c>
      <c r="BE65" s="171"/>
      <c r="BF65" s="170" t="s">
        <v>493</v>
      </c>
      <c r="BG65" s="170">
        <v>4.0</v>
      </c>
      <c r="BH65" s="169">
        <v>2.0</v>
      </c>
      <c r="BI65" s="170" t="s">
        <v>469</v>
      </c>
      <c r="BJ65" s="170" t="s">
        <v>469</v>
      </c>
      <c r="BK65" s="170" t="s">
        <v>469</v>
      </c>
      <c r="BL65" s="170" t="s">
        <v>469</v>
      </c>
      <c r="BM65" s="169">
        <v>2.0</v>
      </c>
      <c r="BN65" s="169">
        <v>20.0</v>
      </c>
      <c r="BO65" s="169">
        <v>0.0</v>
      </c>
      <c r="BP65" s="169">
        <v>0.0</v>
      </c>
      <c r="BQ65" s="130"/>
      <c r="BR65" s="191">
        <v>9.0</v>
      </c>
      <c r="BS65" s="191">
        <v>0.0</v>
      </c>
      <c r="BT65" s="191">
        <v>0.0</v>
      </c>
      <c r="BU65" s="191">
        <v>41.0</v>
      </c>
      <c r="BV65" s="175" t="s">
        <v>469</v>
      </c>
      <c r="BW65" s="130"/>
      <c r="BX65" s="170">
        <v>9.0</v>
      </c>
      <c r="BY65" s="170">
        <v>0.0</v>
      </c>
      <c r="BZ65" s="170">
        <v>0.0</v>
      </c>
      <c r="CA65" s="170">
        <v>36.0</v>
      </c>
      <c r="CB65" s="170" t="s">
        <v>469</v>
      </c>
      <c r="CC65" s="130"/>
      <c r="CD65" s="171"/>
      <c r="CE65" s="171"/>
      <c r="CF65" s="171"/>
      <c r="CG65" s="171"/>
      <c r="CH65" s="171"/>
      <c r="CI65" s="130"/>
      <c r="CJ65" s="171"/>
      <c r="CK65" s="171"/>
      <c r="CL65" s="171"/>
      <c r="CM65" s="171"/>
      <c r="CN65" s="171"/>
      <c r="CO65" s="108"/>
      <c r="CP65" s="194"/>
      <c r="CQ65" s="194"/>
      <c r="CR65" s="194"/>
      <c r="CS65" s="194"/>
      <c r="CT65" s="171"/>
      <c r="CU65" s="130"/>
      <c r="CV65" s="194"/>
      <c r="CW65" s="194"/>
      <c r="CX65" s="194"/>
      <c r="CY65" s="194"/>
      <c r="CZ65" s="171"/>
      <c r="DA65" s="130"/>
      <c r="DB65" s="194"/>
      <c r="DC65" s="194"/>
      <c r="DD65" s="194"/>
      <c r="DE65" s="194"/>
      <c r="DF65" s="171"/>
      <c r="DG65" s="130"/>
      <c r="DH65" s="194"/>
      <c r="DI65" s="194"/>
      <c r="DJ65" s="194"/>
      <c r="DK65" s="194"/>
      <c r="DL65" s="171"/>
      <c r="DM65" s="130"/>
      <c r="DN65" s="194"/>
      <c r="DO65" s="194"/>
      <c r="DP65" s="194"/>
      <c r="DQ65" s="194"/>
      <c r="DR65" s="171"/>
      <c r="DS65" s="130"/>
      <c r="DT65" s="108"/>
      <c r="DU65" s="108"/>
      <c r="DW65" s="109"/>
      <c r="DX65" s="110">
        <f t="shared" si="13"/>
        <v>9</v>
      </c>
      <c r="DY65" s="111">
        <f t="shared" ref="DY65:DZ65" si="189">sum(BS65,BY65,CE65,CK65,CQ65,CW65,DC65,DI65,DO65)</f>
        <v>0</v>
      </c>
      <c r="DZ65" s="111">
        <f t="shared" si="189"/>
        <v>0</v>
      </c>
      <c r="EA65" s="110">
        <f t="shared" si="15"/>
        <v>38.5</v>
      </c>
      <c r="EB65" s="99" t="str">
        <f t="shared" si="16"/>
        <v>35 - 54</v>
      </c>
      <c r="EC65" s="112"/>
      <c r="ED65" s="113">
        <f t="shared" si="17"/>
        <v>3.7</v>
      </c>
      <c r="EE65" s="114" t="str">
        <f>IF(V65 &lt;&gt; "", 1+((V65-MIN(discount_rates))*(4)/(MAX(discount_rates) - MIN(discount_rates))), "")</f>
        <v/>
      </c>
      <c r="EF65" s="114" t="str">
        <f>IF(Q65="Debt", (1+((S65-MIN(interest_rates))*(4)/(MAX(interest_rates) - MIN(interest_rates)))), "")</f>
        <v/>
      </c>
      <c r="EG65" s="114" t="str">
        <f>IF(OR(Q65="Revenue Share", Q65="Profit Share"), (1+((R65-MIN(return_mutiples))*(4)/(MAX(return_mutiples) - MIN(return_mutiples)))), "")</f>
        <v/>
      </c>
      <c r="EH65" s="115">
        <f t="shared" si="18"/>
        <v>3.7</v>
      </c>
      <c r="EI65" s="116" t="str">
        <f t="shared" si="19"/>
        <v>Equity - Common</v>
      </c>
      <c r="EJ65" s="117">
        <f t="shared" si="20"/>
        <v>0.3287671233</v>
      </c>
      <c r="EK65" s="116" t="str">
        <f t="shared" si="21"/>
        <v>Growth</v>
      </c>
      <c r="EL65" s="112"/>
      <c r="EM65" s="118">
        <f t="shared" si="22"/>
        <v>2.4</v>
      </c>
      <c r="EN65" s="118">
        <f t="shared" si="23"/>
        <v>3</v>
      </c>
      <c r="EO65" s="119">
        <f t="shared" si="24"/>
        <v>5.4</v>
      </c>
      <c r="EP65" s="115">
        <f>1+((EO65-MIN(market_ratings_sums))*(4)/(MAX(market_ratings_sums) - MIN(market_ratings_sums)))</f>
        <v>2.894736842</v>
      </c>
      <c r="EQ65" s="116" t="str">
        <f t="shared" si="25"/>
        <v>No</v>
      </c>
      <c r="ER65" s="112"/>
      <c r="ES65" s="123">
        <f>1+((DX65-MIN(industry_experiences))*(4)/(MAX(industry_experiences) - MIN(industry_experiences)))</f>
        <v>1.857142857</v>
      </c>
      <c r="ET65" s="123">
        <f>1+((DY65-MIN(previous_startups))*(4)/(MAX(previous_startups) - MIN(previous_startups)))</f>
        <v>1</v>
      </c>
      <c r="EU65" s="123">
        <f>1+((DZ65-MIN(exits))*(4)/(MAX(exits) - MIN(exits)))</f>
        <v>1</v>
      </c>
      <c r="EV65" s="119">
        <f t="shared" si="26"/>
        <v>3.857142857</v>
      </c>
      <c r="EW65" s="124">
        <f>1+((EV65-MIN(team_ratings_sums))*(4)/(MAX(team_ratings_sums) - MIN(team_ratings_sums)))</f>
        <v>1.469565217</v>
      </c>
      <c r="EX65" s="116" t="str">
        <f t="shared" si="27"/>
        <v>35 - 54</v>
      </c>
      <c r="EY65" s="125">
        <f t="shared" si="28"/>
        <v>0.6849315068</v>
      </c>
      <c r="EZ65" s="116">
        <f t="shared" si="29"/>
        <v>2</v>
      </c>
      <c r="FA65" s="125">
        <f t="shared" si="30"/>
        <v>0.4520547945</v>
      </c>
      <c r="FB65" s="116">
        <f t="shared" si="31"/>
        <v>20</v>
      </c>
      <c r="FC65" s="125">
        <f t="shared" si="32"/>
        <v>0.01369863014</v>
      </c>
      <c r="FD65" s="116" t="str">
        <f t="shared" si="33"/>
        <v>No</v>
      </c>
      <c r="FE65" s="125">
        <f t="shared" si="34"/>
        <v>0.7534246575</v>
      </c>
      <c r="FF65" s="116" t="str">
        <f t="shared" ref="FF65:FH65" si="190">BJ65</f>
        <v>No</v>
      </c>
      <c r="FG65" s="116" t="str">
        <f t="shared" si="190"/>
        <v>No</v>
      </c>
      <c r="FH65" s="116" t="str">
        <f t="shared" si="190"/>
        <v>No</v>
      </c>
      <c r="FI65" s="112"/>
      <c r="FJ65" s="116" t="str">
        <f t="shared" si="36"/>
        <v>Transactional</v>
      </c>
      <c r="FK65" s="125">
        <f t="shared" si="37"/>
        <v>0.602739726</v>
      </c>
      <c r="FL65" s="116" t="str">
        <f t="shared" si="38"/>
        <v>B2B/B2C</v>
      </c>
      <c r="FM65" s="125">
        <f t="shared" si="39"/>
        <v>0.3287671233</v>
      </c>
      <c r="FN65" s="116" t="str">
        <f t="shared" si="40"/>
        <v>High</v>
      </c>
      <c r="FO65" s="125">
        <f t="shared" si="41"/>
        <v>0.5616438356</v>
      </c>
      <c r="FP65" s="116" t="str">
        <f t="shared" si="42"/>
        <v>High</v>
      </c>
      <c r="FQ65" s="125">
        <f t="shared" si="43"/>
        <v>0.6438356164</v>
      </c>
      <c r="FR65" s="112"/>
      <c r="FS65" s="123">
        <f t="shared" si="44"/>
        <v>5</v>
      </c>
      <c r="FT65" s="123">
        <f t="shared" si="45"/>
        <v>4.1</v>
      </c>
      <c r="FU65" s="123">
        <f t="shared" si="46"/>
        <v>1</v>
      </c>
      <c r="FV65" s="123">
        <f t="shared" si="47"/>
        <v>5</v>
      </c>
      <c r="FW65" s="119">
        <f t="shared" si="48"/>
        <v>15.1</v>
      </c>
      <c r="FX65" s="115">
        <f>1+((FW65-MIN(performance_ratings_sums))*(4)/(MAX(performance_ratings_sums) - MIN(performance_ratings_sums)))</f>
        <v>4.140186916</v>
      </c>
      <c r="FY65" s="116" t="str">
        <f t="shared" si="49"/>
        <v>Pre-Profit</v>
      </c>
      <c r="FZ65" s="126">
        <f t="shared" si="50"/>
        <v>0.4931506849</v>
      </c>
      <c r="GA65" s="112"/>
      <c r="GB65" s="127">
        <f t="shared" si="51"/>
        <v>1</v>
      </c>
      <c r="GC65" s="116" t="str">
        <f t="shared" si="52"/>
        <v>No</v>
      </c>
      <c r="GD65" s="126">
        <f t="shared" si="53"/>
        <v>0.7671232877</v>
      </c>
      <c r="GE65" s="126" t="str">
        <f t="shared" si="54"/>
        <v>Low</v>
      </c>
      <c r="GF65" s="126">
        <f t="shared" si="55"/>
        <v>0.5479452055</v>
      </c>
      <c r="GG65" s="126" t="str">
        <f t="shared" si="56"/>
        <v>High</v>
      </c>
      <c r="GH65" s="126">
        <f t="shared" si="57"/>
        <v>0.8082191781</v>
      </c>
      <c r="GI65" s="112"/>
      <c r="GJ65" s="116"/>
      <c r="GK65" s="119">
        <f t="shared" si="58"/>
        <v>13.20448898</v>
      </c>
      <c r="GL65" s="128">
        <f>1+((GK65-MIN(ratings_sums))*(4)/(MAX(ratings_sums) - MIN(ratings_sums)))</f>
        <v>2.844261168</v>
      </c>
    </row>
    <row r="66" ht="15.75" customHeight="1">
      <c r="A66" s="176" t="s">
        <v>702</v>
      </c>
      <c r="B66" s="169">
        <v>1796036.0</v>
      </c>
      <c r="C66" s="177" t="s">
        <v>831</v>
      </c>
      <c r="D66" s="178">
        <v>43805.40694444445</v>
      </c>
      <c r="E66" s="170" t="s">
        <v>381</v>
      </c>
      <c r="F66" s="150" t="s">
        <v>832</v>
      </c>
      <c r="G66" s="150" t="s">
        <v>833</v>
      </c>
      <c r="H66" s="205">
        <v>43804.0</v>
      </c>
      <c r="I66" s="180" t="s">
        <v>834</v>
      </c>
      <c r="J66" s="180" t="s">
        <v>831</v>
      </c>
      <c r="K66" s="170" t="s">
        <v>322</v>
      </c>
      <c r="L66" s="170" t="s">
        <v>99</v>
      </c>
      <c r="M66" s="170" t="s">
        <v>31</v>
      </c>
      <c r="N66" s="170" t="s">
        <v>32</v>
      </c>
      <c r="O66" s="170" t="s">
        <v>35</v>
      </c>
      <c r="P66" s="174"/>
      <c r="Q66" s="170" t="s">
        <v>121</v>
      </c>
      <c r="R66" s="181"/>
      <c r="S66" s="182"/>
      <c r="T66" s="184">
        <v>3.9E7</v>
      </c>
      <c r="U66" s="183"/>
      <c r="V66" s="185"/>
      <c r="W66" s="96" t="str">
        <f t="shared" si="125"/>
        <v/>
      </c>
      <c r="X66" s="98">
        <f t="shared" si="126"/>
        <v>39000000</v>
      </c>
      <c r="Y66" s="99" t="str">
        <f t="shared" si="127"/>
        <v>$38M - $40M</v>
      </c>
      <c r="Z66" s="170" t="s">
        <v>36</v>
      </c>
      <c r="AA66" s="170" t="s">
        <v>105</v>
      </c>
      <c r="AB66" s="170" t="s">
        <v>88</v>
      </c>
      <c r="AC66" s="170" t="s">
        <v>469</v>
      </c>
      <c r="AD66" s="170" t="s">
        <v>39</v>
      </c>
      <c r="AE66" s="170" t="s">
        <v>39</v>
      </c>
      <c r="AF66" s="170" t="s">
        <v>469</v>
      </c>
      <c r="AG66" s="184">
        <v>8.0E9</v>
      </c>
      <c r="AH66" s="97" t="str">
        <f t="shared" si="128"/>
        <v>$5B-$10B</v>
      </c>
      <c r="AI66" s="184">
        <v>8.0E9</v>
      </c>
      <c r="AJ66" s="97" t="str">
        <f t="shared" si="129"/>
        <v>$5B-$10B</v>
      </c>
      <c r="AK66" s="186">
        <v>0.125</v>
      </c>
      <c r="AL66" s="88" t="str">
        <f t="shared" si="130"/>
        <v>10%-20%</v>
      </c>
      <c r="AM66" s="169">
        <v>0.0</v>
      </c>
      <c r="AN66" s="170" t="s">
        <v>39</v>
      </c>
      <c r="AO66" s="170" t="s">
        <v>89</v>
      </c>
      <c r="AP66" s="170" t="s">
        <v>90</v>
      </c>
      <c r="AQ66" s="100" t="s">
        <v>39</v>
      </c>
      <c r="AR66" s="100" t="s">
        <v>89</v>
      </c>
      <c r="AS66" s="170" t="s">
        <v>493</v>
      </c>
      <c r="AT66" s="170" t="s">
        <v>469</v>
      </c>
      <c r="AU66" s="170" t="s">
        <v>469</v>
      </c>
      <c r="AV66" s="170" t="s">
        <v>469</v>
      </c>
      <c r="AW66" s="184">
        <v>0.0</v>
      </c>
      <c r="AX66" s="96" t="str">
        <f t="shared" si="131"/>
        <v>&lt; $10K</v>
      </c>
      <c r="AY66" s="184">
        <v>0.0</v>
      </c>
      <c r="AZ66" s="184">
        <v>0.0</v>
      </c>
      <c r="BA66" s="103" t="str">
        <f t="shared" si="132"/>
        <v>&lt; $10K</v>
      </c>
      <c r="BB66" s="103">
        <f t="shared" si="133"/>
        <v>1</v>
      </c>
      <c r="BC66" s="103" t="str">
        <f t="shared" si="134"/>
        <v>90% - 100%</v>
      </c>
      <c r="BD66" s="170" t="s">
        <v>41</v>
      </c>
      <c r="BE66" s="170" t="s">
        <v>125</v>
      </c>
      <c r="BF66" s="170" t="s">
        <v>469</v>
      </c>
      <c r="BG66" s="170">
        <v>0.0</v>
      </c>
      <c r="BH66" s="169">
        <v>1.0</v>
      </c>
      <c r="BI66" s="170" t="s">
        <v>493</v>
      </c>
      <c r="BJ66" s="170" t="s">
        <v>493</v>
      </c>
      <c r="BK66" s="170" t="s">
        <v>493</v>
      </c>
      <c r="BL66" s="170" t="s">
        <v>469</v>
      </c>
      <c r="BM66" s="169">
        <v>0.0</v>
      </c>
      <c r="BN66" s="169">
        <v>6.0</v>
      </c>
      <c r="BO66" s="169">
        <v>4.0</v>
      </c>
      <c r="BP66" s="169">
        <v>0.0</v>
      </c>
      <c r="BQ66" s="130"/>
      <c r="BR66" s="191">
        <v>0.0</v>
      </c>
      <c r="BS66" s="191">
        <v>0.0</v>
      </c>
      <c r="BT66" s="191">
        <v>0.0</v>
      </c>
      <c r="BU66" s="191">
        <v>42.0</v>
      </c>
      <c r="BV66" s="175" t="s">
        <v>469</v>
      </c>
      <c r="BW66" s="130"/>
      <c r="BX66" s="171"/>
      <c r="BY66" s="171"/>
      <c r="BZ66" s="171"/>
      <c r="CA66" s="171"/>
      <c r="CB66" s="171"/>
      <c r="CC66" s="130"/>
      <c r="CD66" s="171"/>
      <c r="CE66" s="171"/>
      <c r="CF66" s="171"/>
      <c r="CG66" s="171"/>
      <c r="CH66" s="171"/>
      <c r="CI66" s="130"/>
      <c r="CJ66" s="171"/>
      <c r="CK66" s="171"/>
      <c r="CL66" s="171"/>
      <c r="CM66" s="171"/>
      <c r="CN66" s="171"/>
      <c r="CO66" s="108"/>
      <c r="CP66" s="171"/>
      <c r="CQ66" s="171"/>
      <c r="CR66" s="171"/>
      <c r="CS66" s="171"/>
      <c r="CT66" s="171"/>
      <c r="CU66" s="130"/>
      <c r="CV66" s="171"/>
      <c r="CW66" s="171"/>
      <c r="CX66" s="171"/>
      <c r="CY66" s="171"/>
      <c r="CZ66" s="171"/>
      <c r="DA66" s="130"/>
      <c r="DB66" s="171"/>
      <c r="DC66" s="171"/>
      <c r="DD66" s="171"/>
      <c r="DE66" s="171"/>
      <c r="DF66" s="171"/>
      <c r="DG66" s="130"/>
      <c r="DH66" s="171"/>
      <c r="DI66" s="171"/>
      <c r="DJ66" s="171"/>
      <c r="DK66" s="171"/>
      <c r="DL66" s="171"/>
      <c r="DM66" s="130"/>
      <c r="DN66" s="171"/>
      <c r="DO66" s="171"/>
      <c r="DP66" s="171"/>
      <c r="DQ66" s="171"/>
      <c r="DR66" s="171"/>
      <c r="DS66" s="130"/>
      <c r="DT66" s="108"/>
      <c r="DU66" s="108"/>
      <c r="DW66" s="109"/>
      <c r="DX66" s="110">
        <f t="shared" si="13"/>
        <v>0</v>
      </c>
      <c r="DY66" s="111">
        <f t="shared" ref="DY66:DZ66" si="191">sum(BS66,BY66,CE66,CK66,CQ66,CW66,DC66,DI66,DO66)</f>
        <v>0</v>
      </c>
      <c r="DZ66" s="111">
        <f t="shared" si="191"/>
        <v>0</v>
      </c>
      <c r="EA66" s="110">
        <f t="shared" si="15"/>
        <v>42</v>
      </c>
      <c r="EB66" s="99" t="str">
        <f t="shared" si="16"/>
        <v>35 - 54</v>
      </c>
      <c r="EC66" s="112"/>
      <c r="ED66" s="113">
        <f t="shared" si="17"/>
        <v>1.2</v>
      </c>
      <c r="EE66" s="114" t="str">
        <f>IF(V66 &lt;&gt; "", 1+((V66-MIN(discount_rates))*(4)/(MAX(discount_rates) - MIN(discount_rates))), "")</f>
        <v/>
      </c>
      <c r="EF66" s="114" t="str">
        <f>IF(Q66="Debt", (1+((S66-MIN(interest_rates))*(4)/(MAX(interest_rates) - MIN(interest_rates)))), "")</f>
        <v/>
      </c>
      <c r="EG66" s="114" t="str">
        <f>IF(OR(Q66="Revenue Share", Q66="Profit Share"), (1+((R66-MIN(return_mutiples))*(4)/(MAX(return_mutiples) - MIN(return_mutiples)))), "")</f>
        <v/>
      </c>
      <c r="EH66" s="115">
        <f t="shared" si="18"/>
        <v>1.2</v>
      </c>
      <c r="EI66" s="116" t="str">
        <f t="shared" si="19"/>
        <v>Equity - Common</v>
      </c>
      <c r="EJ66" s="117">
        <f t="shared" si="20"/>
        <v>0.3287671233</v>
      </c>
      <c r="EK66" s="116" t="str">
        <f t="shared" si="21"/>
        <v>Early</v>
      </c>
      <c r="EL66" s="112"/>
      <c r="EM66" s="118">
        <f t="shared" si="22"/>
        <v>3</v>
      </c>
      <c r="EN66" s="118">
        <f t="shared" si="23"/>
        <v>2.3</v>
      </c>
      <c r="EO66" s="119">
        <f t="shared" si="24"/>
        <v>5.3</v>
      </c>
      <c r="EP66" s="115">
        <f>1+((EO66-MIN(market_ratings_sums))*(4)/(MAX(market_ratings_sums) - MIN(market_ratings_sums)))</f>
        <v>2.824561404</v>
      </c>
      <c r="EQ66" s="116" t="str">
        <f t="shared" si="25"/>
        <v>Yes</v>
      </c>
      <c r="ER66" s="112"/>
      <c r="ES66" s="123">
        <f>1+((DX66-MIN(industry_experiences))*(4)/(MAX(industry_experiences) - MIN(industry_experiences)))</f>
        <v>1</v>
      </c>
      <c r="ET66" s="123">
        <f>1+((DY66-MIN(previous_startups))*(4)/(MAX(previous_startups) - MIN(previous_startups)))</f>
        <v>1</v>
      </c>
      <c r="EU66" s="123">
        <f>1+((DZ66-MIN(exits))*(4)/(MAX(exits) - MIN(exits)))</f>
        <v>1</v>
      </c>
      <c r="EV66" s="119">
        <f t="shared" si="26"/>
        <v>3</v>
      </c>
      <c r="EW66" s="124">
        <f>1+((EV66-MIN(team_ratings_sums))*(4)/(MAX(team_ratings_sums) - MIN(team_ratings_sums)))</f>
        <v>1</v>
      </c>
      <c r="EX66" s="116" t="str">
        <f t="shared" si="27"/>
        <v>35 - 54</v>
      </c>
      <c r="EY66" s="125">
        <f t="shared" si="28"/>
        <v>0.6849315068</v>
      </c>
      <c r="EZ66" s="116">
        <f t="shared" si="29"/>
        <v>1</v>
      </c>
      <c r="FA66" s="125">
        <f t="shared" si="30"/>
        <v>0.4383561644</v>
      </c>
      <c r="FB66" s="116">
        <f t="shared" si="31"/>
        <v>6</v>
      </c>
      <c r="FC66" s="125">
        <f t="shared" si="32"/>
        <v>0.06849315068</v>
      </c>
      <c r="FD66" s="116" t="str">
        <f t="shared" si="33"/>
        <v>Yes</v>
      </c>
      <c r="FE66" s="125">
        <f t="shared" si="34"/>
        <v>0.2465753425</v>
      </c>
      <c r="FF66" s="116" t="str">
        <f t="shared" ref="FF66:FH66" si="192">BJ66</f>
        <v>Yes</v>
      </c>
      <c r="FG66" s="116" t="str">
        <f t="shared" si="192"/>
        <v>Yes</v>
      </c>
      <c r="FH66" s="116" t="str">
        <f t="shared" si="192"/>
        <v>No</v>
      </c>
      <c r="FI66" s="112"/>
      <c r="FJ66" s="116" t="str">
        <f t="shared" si="36"/>
        <v>Transactional</v>
      </c>
      <c r="FK66" s="125">
        <f t="shared" si="37"/>
        <v>0.602739726</v>
      </c>
      <c r="FL66" s="116" t="str">
        <f t="shared" si="38"/>
        <v>B2B2C</v>
      </c>
      <c r="FM66" s="125">
        <f t="shared" si="39"/>
        <v>0.02739726027</v>
      </c>
      <c r="FN66" s="116" t="str">
        <f t="shared" si="40"/>
        <v>High</v>
      </c>
      <c r="FO66" s="125">
        <f t="shared" si="41"/>
        <v>0.5616438356</v>
      </c>
      <c r="FP66" s="116" t="str">
        <f t="shared" si="42"/>
        <v>High</v>
      </c>
      <c r="FQ66" s="125">
        <f t="shared" si="43"/>
        <v>0.6438356164</v>
      </c>
      <c r="FR66" s="112"/>
      <c r="FS66" s="123">
        <f t="shared" si="44"/>
        <v>1</v>
      </c>
      <c r="FT66" s="123">
        <f t="shared" si="45"/>
        <v>1</v>
      </c>
      <c r="FU66" s="123">
        <f t="shared" si="46"/>
        <v>1</v>
      </c>
      <c r="FV66" s="123">
        <f t="shared" si="47"/>
        <v>5</v>
      </c>
      <c r="FW66" s="119">
        <f t="shared" si="48"/>
        <v>8</v>
      </c>
      <c r="FX66" s="115">
        <f>1+((FW66-MIN(performance_ratings_sums))*(4)/(MAX(performance_ratings_sums) - MIN(performance_ratings_sums)))</f>
        <v>1.485981308</v>
      </c>
      <c r="FY66" s="116" t="str">
        <f t="shared" si="49"/>
        <v>Pre-Product</v>
      </c>
      <c r="FZ66" s="126">
        <f t="shared" si="50"/>
        <v>0.2328767123</v>
      </c>
      <c r="GA66" s="112"/>
      <c r="GB66" s="127">
        <f t="shared" si="51"/>
        <v>3</v>
      </c>
      <c r="GC66" s="116" t="str">
        <f t="shared" si="52"/>
        <v>No</v>
      </c>
      <c r="GD66" s="126">
        <f t="shared" si="53"/>
        <v>0.7671232877</v>
      </c>
      <c r="GE66" s="126" t="str">
        <f t="shared" si="54"/>
        <v>High</v>
      </c>
      <c r="GF66" s="126">
        <f t="shared" si="55"/>
        <v>0.4520547945</v>
      </c>
      <c r="GG66" s="126" t="str">
        <f t="shared" si="56"/>
        <v>Low</v>
      </c>
      <c r="GH66" s="126">
        <f t="shared" si="57"/>
        <v>0.1917808219</v>
      </c>
      <c r="GI66" s="112"/>
      <c r="GJ66" s="116"/>
      <c r="GK66" s="119">
        <f t="shared" si="58"/>
        <v>9.510542712</v>
      </c>
      <c r="GL66" s="128">
        <f>1+((GK66-MIN(ratings_sums))*(4)/(MAX(ratings_sums) - MIN(ratings_sums)))</f>
        <v>1.710810817</v>
      </c>
    </row>
    <row r="67" ht="15.75" customHeight="1">
      <c r="A67" s="200" t="s">
        <v>702</v>
      </c>
      <c r="B67" s="191">
        <v>1661779.0</v>
      </c>
      <c r="C67" s="180" t="s">
        <v>835</v>
      </c>
      <c r="D67" s="204">
        <v>43805.425</v>
      </c>
      <c r="E67" s="175" t="s">
        <v>386</v>
      </c>
      <c r="F67" s="192" t="s">
        <v>836</v>
      </c>
      <c r="G67" s="192" t="s">
        <v>837</v>
      </c>
      <c r="H67" s="193">
        <v>43902.0</v>
      </c>
      <c r="I67" s="180" t="s">
        <v>838</v>
      </c>
      <c r="J67" s="180" t="s">
        <v>381</v>
      </c>
      <c r="K67" s="175" t="s">
        <v>450</v>
      </c>
      <c r="L67" s="175" t="s">
        <v>221</v>
      </c>
      <c r="M67" s="175" t="s">
        <v>31</v>
      </c>
      <c r="N67" s="175" t="s">
        <v>82</v>
      </c>
      <c r="O67" s="175" t="s">
        <v>35</v>
      </c>
      <c r="P67" s="171"/>
      <c r="Q67" s="175" t="s">
        <v>121</v>
      </c>
      <c r="R67" s="181"/>
      <c r="S67" s="182"/>
      <c r="T67" s="16">
        <v>1.2E8</v>
      </c>
      <c r="U67" s="183"/>
      <c r="V67" s="198"/>
      <c r="W67" s="96" t="str">
        <f t="shared" si="125"/>
        <v/>
      </c>
      <c r="X67" s="98">
        <f t="shared" si="126"/>
        <v>120000000</v>
      </c>
      <c r="Y67" s="99" t="str">
        <f t="shared" si="127"/>
        <v>&lt; $40M</v>
      </c>
      <c r="Z67" s="175" t="s">
        <v>36</v>
      </c>
      <c r="AA67" s="175" t="s">
        <v>123</v>
      </c>
      <c r="AB67" s="175" t="s">
        <v>88</v>
      </c>
      <c r="AC67" s="175" t="s">
        <v>493</v>
      </c>
      <c r="AD67" s="175" t="s">
        <v>89</v>
      </c>
      <c r="AE67" s="175" t="s">
        <v>89</v>
      </c>
      <c r="AF67" s="170" t="s">
        <v>469</v>
      </c>
      <c r="AG67" s="16">
        <v>1.372512E10</v>
      </c>
      <c r="AH67" s="97" t="str">
        <f t="shared" si="128"/>
        <v>$10B-$25B</v>
      </c>
      <c r="AI67" s="16">
        <v>1.372512E10</v>
      </c>
      <c r="AJ67" s="97" t="str">
        <f t="shared" si="129"/>
        <v>$10B-$25B</v>
      </c>
      <c r="AK67" s="199">
        <v>0.16</v>
      </c>
      <c r="AL67" s="88" t="str">
        <f t="shared" si="130"/>
        <v>10%-20%</v>
      </c>
      <c r="AM67" s="191">
        <v>25.0</v>
      </c>
      <c r="AN67" s="175" t="s">
        <v>89</v>
      </c>
      <c r="AO67" s="175" t="s">
        <v>89</v>
      </c>
      <c r="AP67" s="175" t="s">
        <v>40</v>
      </c>
      <c r="AQ67" s="143" t="s">
        <v>39</v>
      </c>
      <c r="AR67" s="143" t="s">
        <v>39</v>
      </c>
      <c r="AS67" s="175" t="s">
        <v>469</v>
      </c>
      <c r="AT67" s="175" t="s">
        <v>469</v>
      </c>
      <c r="AU67" s="175" t="s">
        <v>493</v>
      </c>
      <c r="AV67" s="175" t="s">
        <v>493</v>
      </c>
      <c r="AW67" s="16">
        <v>4682528.0</v>
      </c>
      <c r="AX67" s="96" t="str">
        <f t="shared" si="131"/>
        <v>$4M - $5M</v>
      </c>
      <c r="AY67" s="16">
        <v>383375.0</v>
      </c>
      <c r="AZ67" s="16">
        <v>5000000.0</v>
      </c>
      <c r="BA67" s="103" t="str">
        <f t="shared" si="132"/>
        <v>$4M - $5M</v>
      </c>
      <c r="BB67" s="103">
        <f t="shared" si="133"/>
        <v>0.076675</v>
      </c>
      <c r="BC67" s="103" t="str">
        <f t="shared" si="134"/>
        <v>&lt; 10%</v>
      </c>
      <c r="BD67" s="175" t="s">
        <v>107</v>
      </c>
      <c r="BE67" s="171"/>
      <c r="BF67" s="175" t="s">
        <v>469</v>
      </c>
      <c r="BG67" s="170">
        <v>0.0</v>
      </c>
      <c r="BH67" s="191">
        <v>3.0</v>
      </c>
      <c r="BI67" s="170" t="s">
        <v>493</v>
      </c>
      <c r="BJ67" s="175" t="s">
        <v>469</v>
      </c>
      <c r="BK67" s="175" t="s">
        <v>469</v>
      </c>
      <c r="BL67" s="175" t="s">
        <v>493</v>
      </c>
      <c r="BM67" s="191">
        <v>3.0</v>
      </c>
      <c r="BN67" s="191">
        <v>29.0</v>
      </c>
      <c r="BO67" s="191">
        <v>0.0</v>
      </c>
      <c r="BP67" s="191">
        <v>0.0</v>
      </c>
      <c r="BQ67" s="130"/>
      <c r="BR67" s="191">
        <v>9.0</v>
      </c>
      <c r="BS67" s="191">
        <v>1.0</v>
      </c>
      <c r="BT67" s="191">
        <v>1.0</v>
      </c>
      <c r="BU67" s="191">
        <v>55.0</v>
      </c>
      <c r="BV67" s="175" t="s">
        <v>493</v>
      </c>
      <c r="BW67" s="130"/>
      <c r="BX67" s="191">
        <v>6.0</v>
      </c>
      <c r="BY67" s="191">
        <v>3.0</v>
      </c>
      <c r="BZ67" s="191">
        <v>2.0</v>
      </c>
      <c r="CA67" s="191">
        <v>54.0</v>
      </c>
      <c r="CB67" s="170" t="s">
        <v>469</v>
      </c>
      <c r="CC67" s="130"/>
      <c r="CD67" s="171"/>
      <c r="CE67" s="171"/>
      <c r="CF67" s="171"/>
      <c r="CG67" s="171"/>
      <c r="CH67" s="171"/>
      <c r="CI67" s="130"/>
      <c r="CJ67" s="171"/>
      <c r="CK67" s="171"/>
      <c r="CL67" s="171"/>
      <c r="CM67" s="171"/>
      <c r="CN67" s="171"/>
      <c r="CO67" s="108"/>
      <c r="CP67" s="171"/>
      <c r="CQ67" s="171"/>
      <c r="CR67" s="171"/>
      <c r="CS67" s="171"/>
      <c r="CT67" s="171"/>
      <c r="CU67" s="130"/>
      <c r="CV67" s="171"/>
      <c r="CW67" s="171"/>
      <c r="CX67" s="171"/>
      <c r="CY67" s="171"/>
      <c r="CZ67" s="171"/>
      <c r="DA67" s="130"/>
      <c r="DB67" s="171"/>
      <c r="DC67" s="171"/>
      <c r="DD67" s="171"/>
      <c r="DE67" s="171"/>
      <c r="DF67" s="171"/>
      <c r="DG67" s="130"/>
      <c r="DH67" s="171"/>
      <c r="DI67" s="171"/>
      <c r="DJ67" s="171"/>
      <c r="DK67" s="171"/>
      <c r="DL67" s="171"/>
      <c r="DM67" s="130"/>
      <c r="DN67" s="171"/>
      <c r="DO67" s="171"/>
      <c r="DP67" s="171"/>
      <c r="DQ67" s="171"/>
      <c r="DR67" s="171"/>
      <c r="DS67" s="130"/>
      <c r="DT67" s="108"/>
      <c r="DU67" s="108"/>
      <c r="DW67" s="109"/>
      <c r="DX67" s="110">
        <f t="shared" si="13"/>
        <v>7.5</v>
      </c>
      <c r="DY67" s="111">
        <f t="shared" ref="DY67:DZ67" si="193">sum(BS67,BY67,CE67,CK67,CQ67,CW67,DC67,DI67,DO67)</f>
        <v>4</v>
      </c>
      <c r="DZ67" s="111">
        <f t="shared" si="193"/>
        <v>3</v>
      </c>
      <c r="EA67" s="110">
        <f t="shared" si="15"/>
        <v>54.5</v>
      </c>
      <c r="EB67" s="99" t="str">
        <f t="shared" si="16"/>
        <v>55+</v>
      </c>
      <c r="EC67" s="112"/>
      <c r="ED67" s="113">
        <f t="shared" si="17"/>
        <v>1</v>
      </c>
      <c r="EE67" s="114" t="str">
        <f>IF(V67 &lt;&gt; "", 1+((V67-MIN(discount_rates))*(4)/(MAX(discount_rates) - MIN(discount_rates))), "")</f>
        <v/>
      </c>
      <c r="EF67" s="114" t="str">
        <f>IF(Q67="Debt", (1+((S67-MIN(interest_rates))*(4)/(MAX(interest_rates) - MIN(interest_rates)))), "")</f>
        <v/>
      </c>
      <c r="EG67" s="114" t="str">
        <f>IF(OR(Q67="Revenue Share", Q67="Profit Share"), (1+((R67-MIN(return_mutiples))*(4)/(MAX(return_mutiples) - MIN(return_mutiples)))), "")</f>
        <v/>
      </c>
      <c r="EH67" s="115">
        <f t="shared" si="18"/>
        <v>1</v>
      </c>
      <c r="EI67" s="116" t="str">
        <f t="shared" si="19"/>
        <v>Equity - Common</v>
      </c>
      <c r="EJ67" s="117">
        <f t="shared" si="20"/>
        <v>0.3287671233</v>
      </c>
      <c r="EK67" s="116" t="str">
        <f t="shared" si="21"/>
        <v>Early</v>
      </c>
      <c r="EL67" s="112"/>
      <c r="EM67" s="118">
        <f t="shared" si="22"/>
        <v>3.3</v>
      </c>
      <c r="EN67" s="118">
        <f t="shared" si="23"/>
        <v>2.3</v>
      </c>
      <c r="EO67" s="119">
        <f t="shared" si="24"/>
        <v>5.6</v>
      </c>
      <c r="EP67" s="115">
        <f>1+((EO67-MIN(market_ratings_sums))*(4)/(MAX(market_ratings_sums) - MIN(market_ratings_sums)))</f>
        <v>3.035087719</v>
      </c>
      <c r="EQ67" s="116" t="str">
        <f t="shared" si="25"/>
        <v>No</v>
      </c>
      <c r="ER67" s="112"/>
      <c r="ES67" s="123">
        <f>1+((DX67-MIN(industry_experiences))*(4)/(MAX(industry_experiences) - MIN(industry_experiences)))</f>
        <v>1.714285714</v>
      </c>
      <c r="ET67" s="123">
        <f>1+((DY67-MIN(previous_startups))*(4)/(MAX(previous_startups) - MIN(previous_startups)))</f>
        <v>2.777777778</v>
      </c>
      <c r="EU67" s="123">
        <f>1+((DZ67-MIN(exits))*(4)/(MAX(exits) - MIN(exits)))</f>
        <v>4</v>
      </c>
      <c r="EV67" s="119">
        <f t="shared" si="26"/>
        <v>8.492063492</v>
      </c>
      <c r="EW67" s="124">
        <f>1+((EV67-MIN(team_ratings_sums))*(4)/(MAX(team_ratings_sums) - MIN(team_ratings_sums)))</f>
        <v>4.008695652</v>
      </c>
      <c r="EX67" s="116" t="str">
        <f t="shared" si="27"/>
        <v>55+</v>
      </c>
      <c r="EY67" s="125">
        <f t="shared" si="28"/>
        <v>0.1095890411</v>
      </c>
      <c r="EZ67" s="116">
        <f t="shared" si="29"/>
        <v>3</v>
      </c>
      <c r="FA67" s="125">
        <f t="shared" si="30"/>
        <v>0.05479452055</v>
      </c>
      <c r="FB67" s="116">
        <f t="shared" si="31"/>
        <v>29</v>
      </c>
      <c r="FC67" s="125">
        <f t="shared" si="32"/>
        <v>0.01369863014</v>
      </c>
      <c r="FD67" s="116" t="str">
        <f t="shared" si="33"/>
        <v>Yes</v>
      </c>
      <c r="FE67" s="125">
        <f t="shared" si="34"/>
        <v>0.2465753425</v>
      </c>
      <c r="FF67" s="116" t="str">
        <f t="shared" ref="FF67:FH67" si="194">BJ67</f>
        <v>No</v>
      </c>
      <c r="FG67" s="116" t="str">
        <f t="shared" si="194"/>
        <v>No</v>
      </c>
      <c r="FH67" s="116" t="str">
        <f t="shared" si="194"/>
        <v>Yes</v>
      </c>
      <c r="FI67" s="112"/>
      <c r="FJ67" s="116" t="str">
        <f t="shared" si="36"/>
        <v>Transactional</v>
      </c>
      <c r="FK67" s="125">
        <f t="shared" si="37"/>
        <v>0.602739726</v>
      </c>
      <c r="FL67" s="116" t="str">
        <f t="shared" si="38"/>
        <v>B2B/B2C</v>
      </c>
      <c r="FM67" s="125">
        <f t="shared" si="39"/>
        <v>0.3287671233</v>
      </c>
      <c r="FN67" s="116" t="str">
        <f t="shared" si="40"/>
        <v>Low</v>
      </c>
      <c r="FO67" s="125">
        <f t="shared" si="41"/>
        <v>0.4383561644</v>
      </c>
      <c r="FP67" s="116" t="str">
        <f t="shared" si="42"/>
        <v>Low</v>
      </c>
      <c r="FQ67" s="125">
        <f t="shared" si="43"/>
        <v>0.3561643836</v>
      </c>
      <c r="FR67" s="112"/>
      <c r="FS67" s="123">
        <f t="shared" si="44"/>
        <v>5</v>
      </c>
      <c r="FT67" s="123">
        <f t="shared" si="45"/>
        <v>4.6</v>
      </c>
      <c r="FU67" s="123">
        <f t="shared" si="46"/>
        <v>5</v>
      </c>
      <c r="FV67" s="123">
        <f t="shared" si="47"/>
        <v>1.4</v>
      </c>
      <c r="FW67" s="119">
        <f t="shared" si="48"/>
        <v>16</v>
      </c>
      <c r="FX67" s="115">
        <f>1+((FW67-MIN(performance_ratings_sums))*(4)/(MAX(performance_ratings_sums) - MIN(performance_ratings_sums)))</f>
        <v>4.476635514</v>
      </c>
      <c r="FY67" s="116" t="str">
        <f t="shared" si="49"/>
        <v>Pre-Profit</v>
      </c>
      <c r="FZ67" s="126">
        <f t="shared" si="50"/>
        <v>0.4931506849</v>
      </c>
      <c r="GA67" s="112"/>
      <c r="GB67" s="127">
        <f t="shared" si="51"/>
        <v>1</v>
      </c>
      <c r="GC67" s="116" t="str">
        <f t="shared" si="52"/>
        <v>No</v>
      </c>
      <c r="GD67" s="126">
        <f t="shared" si="53"/>
        <v>0.7671232877</v>
      </c>
      <c r="GE67" s="126" t="str">
        <f t="shared" si="54"/>
        <v>High</v>
      </c>
      <c r="GF67" s="126">
        <f t="shared" si="55"/>
        <v>0.4520547945</v>
      </c>
      <c r="GG67" s="126" t="str">
        <f t="shared" si="56"/>
        <v>High</v>
      </c>
      <c r="GH67" s="126">
        <f t="shared" si="57"/>
        <v>0.8082191781</v>
      </c>
      <c r="GI67" s="112"/>
      <c r="GJ67" s="116"/>
      <c r="GK67" s="119">
        <f t="shared" si="58"/>
        <v>13.52041889</v>
      </c>
      <c r="GL67" s="128">
        <f>1+((GK67-MIN(ratings_sums))*(4)/(MAX(ratings_sums) - MIN(ratings_sums)))</f>
        <v>2.941201092</v>
      </c>
    </row>
    <row r="68" ht="15.75" customHeight="1">
      <c r="A68" s="200" t="s">
        <v>702</v>
      </c>
      <c r="B68" s="191">
        <v>1629933.0</v>
      </c>
      <c r="C68" s="180" t="s">
        <v>839</v>
      </c>
      <c r="D68" s="196">
        <v>43805.43194444444</v>
      </c>
      <c r="E68" s="175" t="s">
        <v>392</v>
      </c>
      <c r="F68" s="192" t="s">
        <v>840</v>
      </c>
      <c r="G68" s="192" t="s">
        <v>841</v>
      </c>
      <c r="H68" s="193">
        <v>43740.0</v>
      </c>
      <c r="I68" s="197" t="s">
        <v>842</v>
      </c>
      <c r="J68" s="180" t="s">
        <v>839</v>
      </c>
      <c r="K68" s="175" t="s">
        <v>448</v>
      </c>
      <c r="L68" s="175" t="s">
        <v>390</v>
      </c>
      <c r="M68" s="175" t="s">
        <v>81</v>
      </c>
      <c r="N68" s="175" t="s">
        <v>101</v>
      </c>
      <c r="O68" s="175" t="s">
        <v>35</v>
      </c>
      <c r="P68" s="171"/>
      <c r="Q68" s="175" t="s">
        <v>195</v>
      </c>
      <c r="R68" s="181"/>
      <c r="S68" s="182"/>
      <c r="T68" s="16"/>
      <c r="U68" s="21">
        <v>7000000.0</v>
      </c>
      <c r="V68" s="198">
        <v>0.3</v>
      </c>
      <c r="W68" s="96">
        <f t="shared" si="125"/>
        <v>4900000</v>
      </c>
      <c r="X68" s="98">
        <f t="shared" si="126"/>
        <v>4900000</v>
      </c>
      <c r="Y68" s="99" t="str">
        <f t="shared" si="127"/>
        <v>$4M - $6M</v>
      </c>
      <c r="Z68" s="175" t="s">
        <v>36</v>
      </c>
      <c r="AA68" s="175" t="s">
        <v>123</v>
      </c>
      <c r="AB68" s="175" t="s">
        <v>88</v>
      </c>
      <c r="AC68" s="175" t="s">
        <v>469</v>
      </c>
      <c r="AD68" s="175" t="s">
        <v>89</v>
      </c>
      <c r="AE68" s="175" t="s">
        <v>39</v>
      </c>
      <c r="AF68" s="170" t="s">
        <v>469</v>
      </c>
      <c r="AG68" s="16">
        <v>1.9412603885E10</v>
      </c>
      <c r="AH68" s="97" t="str">
        <f t="shared" si="128"/>
        <v>$10B-$25B</v>
      </c>
      <c r="AI68" s="16">
        <v>7.765041554E9</v>
      </c>
      <c r="AJ68" s="97" t="str">
        <f t="shared" si="129"/>
        <v>$5B-$10B</v>
      </c>
      <c r="AK68" s="199">
        <v>0.334</v>
      </c>
      <c r="AL68" s="88" t="str">
        <f t="shared" si="130"/>
        <v>30%-40%</v>
      </c>
      <c r="AM68" s="191">
        <v>2000.0</v>
      </c>
      <c r="AN68" s="175" t="s">
        <v>89</v>
      </c>
      <c r="AO68" s="175" t="s">
        <v>89</v>
      </c>
      <c r="AP68" s="175" t="s">
        <v>40</v>
      </c>
      <c r="AQ68" s="143" t="s">
        <v>89</v>
      </c>
      <c r="AR68" s="143" t="s">
        <v>39</v>
      </c>
      <c r="AS68" s="175" t="s">
        <v>469</v>
      </c>
      <c r="AT68" s="175" t="s">
        <v>469</v>
      </c>
      <c r="AU68" s="175" t="s">
        <v>493</v>
      </c>
      <c r="AV68" s="175" t="s">
        <v>493</v>
      </c>
      <c r="AW68" s="16">
        <v>396749.0</v>
      </c>
      <c r="AX68" s="96" t="str">
        <f t="shared" si="131"/>
        <v>$100K - $500K</v>
      </c>
      <c r="AY68" s="16">
        <v>63587.0</v>
      </c>
      <c r="AZ68" s="16">
        <v>4601100.0</v>
      </c>
      <c r="BA68" s="103" t="str">
        <f t="shared" si="132"/>
        <v>$4M - $5M</v>
      </c>
      <c r="BB68" s="103">
        <f t="shared" si="133"/>
        <v>0.0138199561</v>
      </c>
      <c r="BC68" s="103" t="str">
        <f t="shared" si="134"/>
        <v>&lt; 10%</v>
      </c>
      <c r="BD68" s="175" t="s">
        <v>107</v>
      </c>
      <c r="BE68" s="171"/>
      <c r="BF68" s="175" t="s">
        <v>469</v>
      </c>
      <c r="BG68" s="191">
        <v>0.0</v>
      </c>
      <c r="BH68" s="191">
        <v>2.0</v>
      </c>
      <c r="BI68" s="175" t="s">
        <v>469</v>
      </c>
      <c r="BJ68" s="175" t="s">
        <v>469</v>
      </c>
      <c r="BK68" s="175" t="s">
        <v>469</v>
      </c>
      <c r="BL68" s="175" t="s">
        <v>469</v>
      </c>
      <c r="BM68" s="191">
        <v>3.0</v>
      </c>
      <c r="BN68" s="191">
        <v>8.0</v>
      </c>
      <c r="BO68" s="191">
        <v>0.0</v>
      </c>
      <c r="BP68" s="191">
        <v>0.0</v>
      </c>
      <c r="BQ68" s="130"/>
      <c r="BR68" s="191">
        <v>3.0</v>
      </c>
      <c r="BS68" s="191">
        <v>0.0</v>
      </c>
      <c r="BT68" s="191">
        <v>0.0</v>
      </c>
      <c r="BU68" s="170">
        <v>62.0</v>
      </c>
      <c r="BV68" s="175" t="s">
        <v>493</v>
      </c>
      <c r="BW68" s="130"/>
      <c r="BX68" s="170">
        <v>8.0</v>
      </c>
      <c r="BY68" s="170">
        <v>1.0</v>
      </c>
      <c r="BZ68" s="170">
        <v>0.0</v>
      </c>
      <c r="CA68" s="170">
        <v>53.0</v>
      </c>
      <c r="CB68" s="170" t="s">
        <v>469</v>
      </c>
      <c r="CC68" s="130"/>
      <c r="CD68" s="171"/>
      <c r="CE68" s="171"/>
      <c r="CF68" s="171"/>
      <c r="CG68" s="171"/>
      <c r="CH68" s="171"/>
      <c r="CI68" s="130"/>
      <c r="CJ68" s="171"/>
      <c r="CK68" s="171"/>
      <c r="CL68" s="171"/>
      <c r="CM68" s="171"/>
      <c r="CN68" s="171"/>
      <c r="CO68" s="108"/>
      <c r="CP68" s="194"/>
      <c r="CQ68" s="194"/>
      <c r="CR68" s="194"/>
      <c r="CS68" s="194"/>
      <c r="CT68" s="171"/>
      <c r="CU68" s="130"/>
      <c r="CV68" s="194"/>
      <c r="CW68" s="194"/>
      <c r="CX68" s="194"/>
      <c r="CY68" s="194"/>
      <c r="CZ68" s="171"/>
      <c r="DA68" s="130"/>
      <c r="DB68" s="194"/>
      <c r="DC68" s="194"/>
      <c r="DD68" s="194"/>
      <c r="DE68" s="194"/>
      <c r="DF68" s="171"/>
      <c r="DG68" s="130"/>
      <c r="DH68" s="194"/>
      <c r="DI68" s="194"/>
      <c r="DJ68" s="194"/>
      <c r="DK68" s="194"/>
      <c r="DL68" s="171"/>
      <c r="DM68" s="130"/>
      <c r="DN68" s="194"/>
      <c r="DO68" s="194"/>
      <c r="DP68" s="194"/>
      <c r="DQ68" s="194"/>
      <c r="DR68" s="171"/>
      <c r="DS68" s="130"/>
      <c r="DT68" s="108"/>
      <c r="DU68" s="108"/>
      <c r="DW68" s="109"/>
      <c r="DX68" s="110">
        <f t="shared" si="13"/>
        <v>5.5</v>
      </c>
      <c r="DY68" s="111">
        <f t="shared" ref="DY68:DZ68" si="195">sum(BS68,BY68,CE68,CK68,CQ68,CW68,DC68,DI68,DO68)</f>
        <v>1</v>
      </c>
      <c r="DZ68" s="111">
        <f t="shared" si="195"/>
        <v>0</v>
      </c>
      <c r="EA68" s="110">
        <f t="shared" si="15"/>
        <v>57.5</v>
      </c>
      <c r="EB68" s="99" t="str">
        <f t="shared" si="16"/>
        <v>55+</v>
      </c>
      <c r="EC68" s="112"/>
      <c r="ED68" s="113">
        <f t="shared" si="17"/>
        <v>4.4</v>
      </c>
      <c r="EE68" s="114">
        <f>IF(V68 &lt;&gt; "", 1+((V68-MIN(discount_rates))*(4)/(MAX(discount_rates) - MIN(discount_rates))), "")</f>
        <v>4.157894737</v>
      </c>
      <c r="EF68" s="114" t="str">
        <f>IF(Q68="Debt", (1+((S68-MIN(interest_rates))*(4)/(MAX(interest_rates) - MIN(interest_rates)))), "")</f>
        <v/>
      </c>
      <c r="EG68" s="114" t="str">
        <f>IF(OR(Q68="Revenue Share", Q68="Profit Share"), (1+((R68-MIN(return_mutiples))*(4)/(MAX(return_mutiples) - MIN(return_mutiples)))), "")</f>
        <v/>
      </c>
      <c r="EH68" s="115">
        <f t="shared" si="18"/>
        <v>4.4</v>
      </c>
      <c r="EI68" s="116" t="str">
        <f t="shared" si="19"/>
        <v>SAFE</v>
      </c>
      <c r="EJ68" s="117">
        <f t="shared" si="20"/>
        <v>0.3561643836</v>
      </c>
      <c r="EK68" s="116" t="str">
        <f t="shared" si="21"/>
        <v>Growth</v>
      </c>
      <c r="EL68" s="112"/>
      <c r="EM68" s="118">
        <f t="shared" si="22"/>
        <v>3</v>
      </c>
      <c r="EN68" s="118">
        <f t="shared" si="23"/>
        <v>3.7</v>
      </c>
      <c r="EO68" s="119">
        <f t="shared" si="24"/>
        <v>6.7</v>
      </c>
      <c r="EP68" s="115">
        <f>1+((EO68-MIN(market_ratings_sums))*(4)/(MAX(market_ratings_sums) - MIN(market_ratings_sums)))</f>
        <v>3.807017544</v>
      </c>
      <c r="EQ68" s="116" t="str">
        <f t="shared" si="25"/>
        <v>No</v>
      </c>
      <c r="ER68" s="112"/>
      <c r="ES68" s="123">
        <f>1+((DX68-MIN(industry_experiences))*(4)/(MAX(industry_experiences) - MIN(industry_experiences)))</f>
        <v>1.523809524</v>
      </c>
      <c r="ET68" s="123">
        <f>1+((DY68-MIN(previous_startups))*(4)/(MAX(previous_startups) - MIN(previous_startups)))</f>
        <v>1.444444444</v>
      </c>
      <c r="EU68" s="123">
        <f>1+((DZ68-MIN(exits))*(4)/(MAX(exits) - MIN(exits)))</f>
        <v>1</v>
      </c>
      <c r="EV68" s="119">
        <f t="shared" si="26"/>
        <v>3.968253968</v>
      </c>
      <c r="EW68" s="124">
        <f>1+((EV68-MIN(team_ratings_sums))*(4)/(MAX(team_ratings_sums) - MIN(team_ratings_sums)))</f>
        <v>1.530434783</v>
      </c>
      <c r="EX68" s="116" t="str">
        <f t="shared" si="27"/>
        <v>55+</v>
      </c>
      <c r="EY68" s="125">
        <f t="shared" si="28"/>
        <v>0.1095890411</v>
      </c>
      <c r="EZ68" s="116">
        <f t="shared" si="29"/>
        <v>2</v>
      </c>
      <c r="FA68" s="125">
        <f t="shared" si="30"/>
        <v>0.4520547945</v>
      </c>
      <c r="FB68" s="116">
        <f t="shared" si="31"/>
        <v>8</v>
      </c>
      <c r="FC68" s="125">
        <f t="shared" si="32"/>
        <v>0.05479452055</v>
      </c>
      <c r="FD68" s="116" t="str">
        <f t="shared" si="33"/>
        <v>No</v>
      </c>
      <c r="FE68" s="125">
        <f t="shared" si="34"/>
        <v>0.7534246575</v>
      </c>
      <c r="FF68" s="116" t="str">
        <f t="shared" ref="FF68:FH68" si="196">BJ68</f>
        <v>No</v>
      </c>
      <c r="FG68" s="116" t="str">
        <f t="shared" si="196"/>
        <v>No</v>
      </c>
      <c r="FH68" s="116" t="str">
        <f t="shared" si="196"/>
        <v>No</v>
      </c>
      <c r="FI68" s="112"/>
      <c r="FJ68" s="116" t="str">
        <f t="shared" si="36"/>
        <v>Transactional</v>
      </c>
      <c r="FK68" s="125">
        <f t="shared" si="37"/>
        <v>0.602739726</v>
      </c>
      <c r="FL68" s="116" t="str">
        <f t="shared" si="38"/>
        <v>B2B/B2C</v>
      </c>
      <c r="FM68" s="125">
        <f t="shared" si="39"/>
        <v>0.3287671233</v>
      </c>
      <c r="FN68" s="116" t="str">
        <f t="shared" si="40"/>
        <v>Low</v>
      </c>
      <c r="FO68" s="125">
        <f t="shared" si="41"/>
        <v>0.4383561644</v>
      </c>
      <c r="FP68" s="116" t="str">
        <f t="shared" si="42"/>
        <v>High</v>
      </c>
      <c r="FQ68" s="125">
        <f t="shared" si="43"/>
        <v>0.6438356164</v>
      </c>
      <c r="FR68" s="112"/>
      <c r="FS68" s="123">
        <f t="shared" si="44"/>
        <v>5</v>
      </c>
      <c r="FT68" s="123">
        <f t="shared" si="45"/>
        <v>2.3</v>
      </c>
      <c r="FU68" s="123">
        <f t="shared" si="46"/>
        <v>5</v>
      </c>
      <c r="FV68" s="123">
        <f t="shared" si="47"/>
        <v>1.4</v>
      </c>
      <c r="FW68" s="119">
        <f t="shared" si="48"/>
        <v>13.7</v>
      </c>
      <c r="FX68" s="115">
        <f>1+((FW68-MIN(performance_ratings_sums))*(4)/(MAX(performance_ratings_sums) - MIN(performance_ratings_sums)))</f>
        <v>3.61682243</v>
      </c>
      <c r="FY68" s="116" t="str">
        <f t="shared" si="49"/>
        <v>Pre-Profit</v>
      </c>
      <c r="FZ68" s="126">
        <f t="shared" si="50"/>
        <v>0.4931506849</v>
      </c>
      <c r="GA68" s="112"/>
      <c r="GB68" s="127">
        <f t="shared" si="51"/>
        <v>1</v>
      </c>
      <c r="GC68" s="116" t="str">
        <f t="shared" si="52"/>
        <v>No</v>
      </c>
      <c r="GD68" s="126">
        <f t="shared" si="53"/>
        <v>0.7671232877</v>
      </c>
      <c r="GE68" s="126" t="str">
        <f t="shared" si="54"/>
        <v>Low</v>
      </c>
      <c r="GF68" s="126">
        <f t="shared" si="55"/>
        <v>0.5479452055</v>
      </c>
      <c r="GG68" s="126" t="str">
        <f t="shared" si="56"/>
        <v>High</v>
      </c>
      <c r="GH68" s="126">
        <f t="shared" si="57"/>
        <v>0.8082191781</v>
      </c>
      <c r="GI68" s="112"/>
      <c r="GJ68" s="116"/>
      <c r="GK68" s="119">
        <f t="shared" si="58"/>
        <v>14.35427476</v>
      </c>
      <c r="GL68" s="128">
        <f>1+((GK68-MIN(ratings_sums))*(4)/(MAX(ratings_sums) - MIN(ratings_sums)))</f>
        <v>3.1970614</v>
      </c>
    </row>
    <row r="69" ht="15.75" customHeight="1">
      <c r="A69" s="176" t="s">
        <v>702</v>
      </c>
      <c r="B69" s="169">
        <v>1709539.0</v>
      </c>
      <c r="C69" s="177" t="s">
        <v>843</v>
      </c>
      <c r="D69" s="178">
        <v>43805.43541666667</v>
      </c>
      <c r="E69" s="170" t="s">
        <v>392</v>
      </c>
      <c r="F69" s="150" t="s">
        <v>844</v>
      </c>
      <c r="G69" s="150" t="s">
        <v>845</v>
      </c>
      <c r="H69" s="179">
        <v>43804.0</v>
      </c>
      <c r="I69" s="180" t="s">
        <v>846</v>
      </c>
      <c r="J69" s="180" t="s">
        <v>846</v>
      </c>
      <c r="K69" s="170" t="s">
        <v>422</v>
      </c>
      <c r="L69" s="170" t="s">
        <v>390</v>
      </c>
      <c r="M69" s="170" t="s">
        <v>31</v>
      </c>
      <c r="N69" s="170" t="s">
        <v>82</v>
      </c>
      <c r="O69" s="170" t="s">
        <v>35</v>
      </c>
      <c r="P69" s="171"/>
      <c r="Q69" s="170" t="s">
        <v>121</v>
      </c>
      <c r="R69" s="181"/>
      <c r="S69" s="182"/>
      <c r="T69" s="184">
        <v>3.0E7</v>
      </c>
      <c r="U69" s="183"/>
      <c r="V69" s="185"/>
      <c r="W69" s="96" t="str">
        <f t="shared" si="125"/>
        <v/>
      </c>
      <c r="X69" s="98">
        <f t="shared" si="126"/>
        <v>30000000</v>
      </c>
      <c r="Y69" s="99" t="str">
        <f t="shared" si="127"/>
        <v>$28M - $30M</v>
      </c>
      <c r="Z69" s="170" t="s">
        <v>86</v>
      </c>
      <c r="AA69" s="170" t="s">
        <v>123</v>
      </c>
      <c r="AB69" s="170" t="s">
        <v>88</v>
      </c>
      <c r="AC69" s="170" t="s">
        <v>469</v>
      </c>
      <c r="AD69" s="170" t="s">
        <v>39</v>
      </c>
      <c r="AE69" s="170" t="s">
        <v>39</v>
      </c>
      <c r="AF69" s="170" t="s">
        <v>469</v>
      </c>
      <c r="AG69" s="184">
        <v>2.5E9</v>
      </c>
      <c r="AH69" s="97" t="str">
        <f t="shared" si="128"/>
        <v>$1B-$5B</v>
      </c>
      <c r="AI69" s="184">
        <v>2.5E9</v>
      </c>
      <c r="AJ69" s="97" t="str">
        <f t="shared" si="129"/>
        <v>$1B-$5B</v>
      </c>
      <c r="AK69" s="186">
        <v>0.031</v>
      </c>
      <c r="AL69" s="88" t="str">
        <f t="shared" si="130"/>
        <v>0%-10%</v>
      </c>
      <c r="AM69" s="169">
        <v>100.0</v>
      </c>
      <c r="AN69" s="170" t="s">
        <v>39</v>
      </c>
      <c r="AO69" s="170" t="s">
        <v>89</v>
      </c>
      <c r="AP69" s="170" t="s">
        <v>90</v>
      </c>
      <c r="AQ69" s="100" t="s">
        <v>39</v>
      </c>
      <c r="AR69" s="100" t="s">
        <v>39</v>
      </c>
      <c r="AS69" s="170" t="s">
        <v>469</v>
      </c>
      <c r="AT69" s="170" t="s">
        <v>493</v>
      </c>
      <c r="AU69" s="170" t="s">
        <v>493</v>
      </c>
      <c r="AV69" s="170" t="s">
        <v>493</v>
      </c>
      <c r="AW69" s="184">
        <v>950796.0</v>
      </c>
      <c r="AX69" s="96" t="str">
        <f t="shared" si="131"/>
        <v>$500K - $1M</v>
      </c>
      <c r="AY69" s="184">
        <v>63328.0</v>
      </c>
      <c r="AZ69" s="21">
        <v>2788940.0</v>
      </c>
      <c r="BA69" s="103" t="str">
        <f t="shared" si="132"/>
        <v>$2M - $3M</v>
      </c>
      <c r="BB69" s="103">
        <f t="shared" si="133"/>
        <v>0.02270683485</v>
      </c>
      <c r="BC69" s="103" t="str">
        <f t="shared" si="134"/>
        <v>&lt; 10%</v>
      </c>
      <c r="BD69" s="170" t="s">
        <v>107</v>
      </c>
      <c r="BE69" s="171"/>
      <c r="BF69" s="170" t="s">
        <v>493</v>
      </c>
      <c r="BG69" s="170">
        <v>3.0</v>
      </c>
      <c r="BH69" s="169">
        <v>2.0</v>
      </c>
      <c r="BI69" s="170" t="s">
        <v>469</v>
      </c>
      <c r="BJ69" s="170" t="s">
        <v>469</v>
      </c>
      <c r="BK69" s="170" t="s">
        <v>469</v>
      </c>
      <c r="BL69" s="170" t="s">
        <v>493</v>
      </c>
      <c r="BM69" s="169">
        <v>1.0</v>
      </c>
      <c r="BN69" s="169">
        <v>4.0</v>
      </c>
      <c r="BO69" s="169">
        <v>0.0</v>
      </c>
      <c r="BP69" s="169">
        <v>1.0</v>
      </c>
      <c r="BQ69" s="130"/>
      <c r="BR69" s="191">
        <v>17.0</v>
      </c>
      <c r="BS69" s="191">
        <v>4.0</v>
      </c>
      <c r="BT69" s="191">
        <v>0.0</v>
      </c>
      <c r="BU69" s="191">
        <v>48.0</v>
      </c>
      <c r="BV69" s="175" t="s">
        <v>469</v>
      </c>
      <c r="BW69" s="130"/>
      <c r="BX69" s="191">
        <v>8.0</v>
      </c>
      <c r="BY69" s="191">
        <v>0.0</v>
      </c>
      <c r="BZ69" s="191">
        <v>0.0</v>
      </c>
      <c r="CA69" s="191">
        <v>40.0</v>
      </c>
      <c r="CB69" s="175" t="s">
        <v>493</v>
      </c>
      <c r="CC69" s="130"/>
      <c r="CD69" s="171"/>
      <c r="CE69" s="171"/>
      <c r="CF69" s="171"/>
      <c r="CG69" s="171"/>
      <c r="CH69" s="171"/>
      <c r="CI69" s="130"/>
      <c r="CJ69" s="171"/>
      <c r="CK69" s="171"/>
      <c r="CL69" s="171"/>
      <c r="CM69" s="171"/>
      <c r="CN69" s="171"/>
      <c r="CO69" s="108"/>
      <c r="CP69" s="171"/>
      <c r="CQ69" s="171"/>
      <c r="CR69" s="171"/>
      <c r="CS69" s="171"/>
      <c r="CT69" s="171"/>
      <c r="CU69" s="130"/>
      <c r="CV69" s="171"/>
      <c r="CW69" s="171"/>
      <c r="CX69" s="171"/>
      <c r="CY69" s="171"/>
      <c r="CZ69" s="171"/>
      <c r="DA69" s="130"/>
      <c r="DB69" s="171"/>
      <c r="DC69" s="171"/>
      <c r="DD69" s="171"/>
      <c r="DE69" s="171"/>
      <c r="DF69" s="171"/>
      <c r="DG69" s="130"/>
      <c r="DH69" s="171"/>
      <c r="DI69" s="171"/>
      <c r="DJ69" s="171"/>
      <c r="DK69" s="171"/>
      <c r="DL69" s="171"/>
      <c r="DM69" s="130"/>
      <c r="DN69" s="171"/>
      <c r="DO69" s="171"/>
      <c r="DP69" s="171"/>
      <c r="DQ69" s="171"/>
      <c r="DR69" s="171"/>
      <c r="DS69" s="130"/>
      <c r="DT69" s="108"/>
      <c r="DU69" s="108"/>
      <c r="DW69" s="109"/>
      <c r="DX69" s="110">
        <f t="shared" si="13"/>
        <v>12.5</v>
      </c>
      <c r="DY69" s="111">
        <f t="shared" ref="DY69:DZ69" si="197">sum(BS69,BY69,CE69,CK69,CQ69,CW69,DC69,DI69,DO69)</f>
        <v>4</v>
      </c>
      <c r="DZ69" s="111">
        <f t="shared" si="197"/>
        <v>0</v>
      </c>
      <c r="EA69" s="110">
        <f t="shared" si="15"/>
        <v>44</v>
      </c>
      <c r="EB69" s="99" t="str">
        <f t="shared" si="16"/>
        <v>35 - 54</v>
      </c>
      <c r="EC69" s="112"/>
      <c r="ED69" s="113">
        <f t="shared" si="17"/>
        <v>2.1</v>
      </c>
      <c r="EE69" s="114" t="str">
        <f>IF(V69 &lt;&gt; "", 1+((V69-MIN(discount_rates))*(4)/(MAX(discount_rates) - MIN(discount_rates))), "")</f>
        <v/>
      </c>
      <c r="EF69" s="114" t="str">
        <f>IF(Q69="Debt", (1+((S69-MIN(interest_rates))*(4)/(MAX(interest_rates) - MIN(interest_rates)))), "")</f>
        <v/>
      </c>
      <c r="EG69" s="114" t="str">
        <f>IF(OR(Q69="Revenue Share", Q69="Profit Share"), (1+((R69-MIN(return_mutiples))*(4)/(MAX(return_mutiples) - MIN(return_mutiples)))), "")</f>
        <v/>
      </c>
      <c r="EH69" s="115">
        <f t="shared" si="18"/>
        <v>2.1</v>
      </c>
      <c r="EI69" s="116" t="str">
        <f t="shared" si="19"/>
        <v>Equity - Common</v>
      </c>
      <c r="EJ69" s="117">
        <f t="shared" si="20"/>
        <v>0.3287671233</v>
      </c>
      <c r="EK69" s="116" t="str">
        <f t="shared" si="21"/>
        <v>Early</v>
      </c>
      <c r="EL69" s="112"/>
      <c r="EM69" s="118">
        <f t="shared" si="22"/>
        <v>2.7</v>
      </c>
      <c r="EN69" s="118">
        <f t="shared" si="23"/>
        <v>1.7</v>
      </c>
      <c r="EO69" s="119">
        <f t="shared" si="24"/>
        <v>4.4</v>
      </c>
      <c r="EP69" s="115">
        <f>1+((EO69-MIN(market_ratings_sums))*(4)/(MAX(market_ratings_sums) - MIN(market_ratings_sums)))</f>
        <v>2.192982456</v>
      </c>
      <c r="EQ69" s="116" t="str">
        <f t="shared" si="25"/>
        <v>No</v>
      </c>
      <c r="ER69" s="112"/>
      <c r="ES69" s="123">
        <f>1+((DX69-MIN(industry_experiences))*(4)/(MAX(industry_experiences) - MIN(industry_experiences)))</f>
        <v>2.19047619</v>
      </c>
      <c r="ET69" s="123">
        <f>1+((DY69-MIN(previous_startups))*(4)/(MAX(previous_startups) - MIN(previous_startups)))</f>
        <v>2.777777778</v>
      </c>
      <c r="EU69" s="123">
        <f>1+((DZ69-MIN(exits))*(4)/(MAX(exits) - MIN(exits)))</f>
        <v>1</v>
      </c>
      <c r="EV69" s="119">
        <f t="shared" si="26"/>
        <v>5.968253968</v>
      </c>
      <c r="EW69" s="124">
        <f>1+((EV69-MIN(team_ratings_sums))*(4)/(MAX(team_ratings_sums) - MIN(team_ratings_sums)))</f>
        <v>2.626086957</v>
      </c>
      <c r="EX69" s="116" t="str">
        <f t="shared" si="27"/>
        <v>35 - 54</v>
      </c>
      <c r="EY69" s="125">
        <f t="shared" si="28"/>
        <v>0.6849315068</v>
      </c>
      <c r="EZ69" s="116">
        <f t="shared" si="29"/>
        <v>2</v>
      </c>
      <c r="FA69" s="125">
        <f t="shared" si="30"/>
        <v>0.4520547945</v>
      </c>
      <c r="FB69" s="116">
        <f t="shared" si="31"/>
        <v>4</v>
      </c>
      <c r="FC69" s="125">
        <f t="shared" si="32"/>
        <v>0.1369863014</v>
      </c>
      <c r="FD69" s="116" t="str">
        <f t="shared" si="33"/>
        <v>No</v>
      </c>
      <c r="FE69" s="125">
        <f t="shared" si="34"/>
        <v>0.7534246575</v>
      </c>
      <c r="FF69" s="116" t="str">
        <f t="shared" ref="FF69:FH69" si="198">BJ69</f>
        <v>No</v>
      </c>
      <c r="FG69" s="116" t="str">
        <f t="shared" si="198"/>
        <v>No</v>
      </c>
      <c r="FH69" s="116" t="str">
        <f t="shared" si="198"/>
        <v>Yes</v>
      </c>
      <c r="FI69" s="112"/>
      <c r="FJ69" s="116" t="str">
        <f t="shared" si="36"/>
        <v>Recurring</v>
      </c>
      <c r="FK69" s="125">
        <f t="shared" si="37"/>
        <v>0.397260274</v>
      </c>
      <c r="FL69" s="116" t="str">
        <f t="shared" si="38"/>
        <v>B2B/B2C</v>
      </c>
      <c r="FM69" s="125">
        <f t="shared" si="39"/>
        <v>0.3287671233</v>
      </c>
      <c r="FN69" s="116" t="str">
        <f t="shared" si="40"/>
        <v>High</v>
      </c>
      <c r="FO69" s="125">
        <f t="shared" si="41"/>
        <v>0.5616438356</v>
      </c>
      <c r="FP69" s="116" t="str">
        <f t="shared" si="42"/>
        <v>High</v>
      </c>
      <c r="FQ69" s="125">
        <f t="shared" si="43"/>
        <v>0.6438356164</v>
      </c>
      <c r="FR69" s="112"/>
      <c r="FS69" s="123">
        <f t="shared" si="44"/>
        <v>5</v>
      </c>
      <c r="FT69" s="123">
        <f t="shared" si="45"/>
        <v>2.8</v>
      </c>
      <c r="FU69" s="123">
        <f t="shared" si="46"/>
        <v>5</v>
      </c>
      <c r="FV69" s="123">
        <f t="shared" si="47"/>
        <v>2.3</v>
      </c>
      <c r="FW69" s="119">
        <f t="shared" si="48"/>
        <v>15.1</v>
      </c>
      <c r="FX69" s="115">
        <f>1+((FW69-MIN(performance_ratings_sums))*(4)/(MAX(performance_ratings_sums) - MIN(performance_ratings_sums)))</f>
        <v>4.140186916</v>
      </c>
      <c r="FY69" s="116" t="str">
        <f t="shared" si="49"/>
        <v>Pre-Profit</v>
      </c>
      <c r="FZ69" s="126">
        <f t="shared" si="50"/>
        <v>0.4931506849</v>
      </c>
      <c r="GA69" s="112"/>
      <c r="GB69" s="127">
        <f t="shared" si="51"/>
        <v>3</v>
      </c>
      <c r="GC69" s="116" t="str">
        <f t="shared" si="52"/>
        <v>Yes</v>
      </c>
      <c r="GD69" s="126">
        <f t="shared" si="53"/>
        <v>0.2328767123</v>
      </c>
      <c r="GE69" s="126" t="str">
        <f t="shared" si="54"/>
        <v>High</v>
      </c>
      <c r="GF69" s="126">
        <f t="shared" si="55"/>
        <v>0.4520547945</v>
      </c>
      <c r="GG69" s="126" t="str">
        <f t="shared" si="56"/>
        <v>High</v>
      </c>
      <c r="GH69" s="126">
        <f t="shared" si="57"/>
        <v>0.8082191781</v>
      </c>
      <c r="GI69" s="112"/>
      <c r="GJ69" s="116"/>
      <c r="GK69" s="119">
        <f t="shared" si="58"/>
        <v>14.05925633</v>
      </c>
      <c r="GL69" s="128">
        <f>1+((GK69-MIN(ratings_sums))*(4)/(MAX(ratings_sums) - MIN(ratings_sums)))</f>
        <v>3.106537955</v>
      </c>
    </row>
    <row r="70" ht="15.75" customHeight="1">
      <c r="A70" s="176" t="s">
        <v>702</v>
      </c>
      <c r="B70" s="169">
        <v>1702371.0</v>
      </c>
      <c r="C70" s="177" t="s">
        <v>847</v>
      </c>
      <c r="D70" s="178">
        <v>43808.555555555555</v>
      </c>
      <c r="E70" s="170" t="s">
        <v>369</v>
      </c>
      <c r="F70" s="150" t="s">
        <v>848</v>
      </c>
      <c r="G70" s="150" t="s">
        <v>849</v>
      </c>
      <c r="H70" s="179">
        <v>43805.0</v>
      </c>
      <c r="I70" s="180" t="s">
        <v>850</v>
      </c>
      <c r="J70" s="180" t="s">
        <v>847</v>
      </c>
      <c r="K70" s="170" t="s">
        <v>503</v>
      </c>
      <c r="L70" s="170" t="s">
        <v>355</v>
      </c>
      <c r="M70" s="170" t="s">
        <v>81</v>
      </c>
      <c r="N70" s="170" t="s">
        <v>119</v>
      </c>
      <c r="O70" s="170" t="s">
        <v>35</v>
      </c>
      <c r="P70" s="171"/>
      <c r="Q70" s="170" t="s">
        <v>195</v>
      </c>
      <c r="R70" s="181"/>
      <c r="S70" s="182"/>
      <c r="T70" s="184"/>
      <c r="U70" s="21">
        <v>1.0E7</v>
      </c>
      <c r="V70" s="185">
        <v>0.0</v>
      </c>
      <c r="W70" s="96">
        <f t="shared" si="125"/>
        <v>10000000</v>
      </c>
      <c r="X70" s="98">
        <f t="shared" si="126"/>
        <v>10000000</v>
      </c>
      <c r="Y70" s="99" t="str">
        <f t="shared" si="127"/>
        <v>$8M - $10M</v>
      </c>
      <c r="Z70" s="170" t="s">
        <v>86</v>
      </c>
      <c r="AA70" s="170" t="s">
        <v>123</v>
      </c>
      <c r="AB70" s="170" t="s">
        <v>88</v>
      </c>
      <c r="AC70" s="170" t="s">
        <v>493</v>
      </c>
      <c r="AD70" s="170" t="s">
        <v>39</v>
      </c>
      <c r="AE70" s="170" t="s">
        <v>89</v>
      </c>
      <c r="AF70" s="170" t="s">
        <v>469</v>
      </c>
      <c r="AG70" s="184">
        <v>4.6E10</v>
      </c>
      <c r="AH70" s="97" t="str">
        <f t="shared" si="128"/>
        <v>$25B-$50B</v>
      </c>
      <c r="AI70" s="184">
        <v>1.0E9</v>
      </c>
      <c r="AJ70" s="97" t="str">
        <f t="shared" si="129"/>
        <v>$1B-$5B</v>
      </c>
      <c r="AK70" s="186">
        <v>0.25</v>
      </c>
      <c r="AL70" s="88" t="str">
        <f t="shared" si="130"/>
        <v>20%-30%</v>
      </c>
      <c r="AM70" s="169">
        <v>10.0</v>
      </c>
      <c r="AN70" s="170" t="s">
        <v>39</v>
      </c>
      <c r="AO70" s="170" t="s">
        <v>89</v>
      </c>
      <c r="AP70" s="170" t="s">
        <v>90</v>
      </c>
      <c r="AQ70" s="100" t="s">
        <v>89</v>
      </c>
      <c r="AR70" s="100" t="s">
        <v>39</v>
      </c>
      <c r="AS70" s="170" t="s">
        <v>493</v>
      </c>
      <c r="AT70" s="170" t="s">
        <v>469</v>
      </c>
      <c r="AU70" s="170" t="s">
        <v>493</v>
      </c>
      <c r="AV70" s="170" t="s">
        <v>493</v>
      </c>
      <c r="AW70" s="184">
        <v>2038139.0</v>
      </c>
      <c r="AX70" s="96" t="str">
        <f t="shared" si="131"/>
        <v>$2M - $3M</v>
      </c>
      <c r="AY70" s="184">
        <v>77550.0</v>
      </c>
      <c r="AZ70" s="21">
        <v>1600000.0</v>
      </c>
      <c r="BA70" s="103" t="str">
        <f t="shared" si="132"/>
        <v>$1M - $2M</v>
      </c>
      <c r="BB70" s="103">
        <f t="shared" si="133"/>
        <v>0.04846875</v>
      </c>
      <c r="BC70" s="103" t="str">
        <f t="shared" si="134"/>
        <v>&lt; 10%</v>
      </c>
      <c r="BD70" s="170" t="s">
        <v>124</v>
      </c>
      <c r="BE70" s="171"/>
      <c r="BF70" s="170" t="s">
        <v>469</v>
      </c>
      <c r="BG70" s="169">
        <v>0.0</v>
      </c>
      <c r="BH70" s="169">
        <v>1.0</v>
      </c>
      <c r="BI70" s="90" t="s">
        <v>469</v>
      </c>
      <c r="BJ70" s="170" t="s">
        <v>469</v>
      </c>
      <c r="BK70" s="170" t="s">
        <v>469</v>
      </c>
      <c r="BL70" s="170" t="s">
        <v>469</v>
      </c>
      <c r="BM70" s="169">
        <v>4.0</v>
      </c>
      <c r="BN70" s="169">
        <v>13.0</v>
      </c>
      <c r="BO70" s="169">
        <v>15.0</v>
      </c>
      <c r="BP70" s="169">
        <v>3.0</v>
      </c>
      <c r="BQ70" s="130"/>
      <c r="BR70" s="191">
        <v>18.0</v>
      </c>
      <c r="BS70" s="191">
        <v>4.0</v>
      </c>
      <c r="BT70" s="191">
        <v>2.0</v>
      </c>
      <c r="BU70" s="170">
        <v>36.0</v>
      </c>
      <c r="BV70" s="175" t="s">
        <v>493</v>
      </c>
      <c r="BW70" s="130"/>
      <c r="BX70" s="171"/>
      <c r="BY70" s="171"/>
      <c r="BZ70" s="171"/>
      <c r="CA70" s="171"/>
      <c r="CB70" s="171"/>
      <c r="CC70" s="130"/>
      <c r="CD70" s="171"/>
      <c r="CE70" s="171"/>
      <c r="CF70" s="171"/>
      <c r="CG70" s="171"/>
      <c r="CH70" s="171"/>
      <c r="CI70" s="130"/>
      <c r="CJ70" s="171"/>
      <c r="CK70" s="171"/>
      <c r="CL70" s="171"/>
      <c r="CM70" s="171"/>
      <c r="CN70" s="171"/>
      <c r="CO70" s="108"/>
      <c r="CP70" s="194"/>
      <c r="CQ70" s="194"/>
      <c r="CR70" s="194"/>
      <c r="CS70" s="194"/>
      <c r="CT70" s="195"/>
      <c r="CU70" s="130"/>
      <c r="CV70" s="194"/>
      <c r="CW70" s="194"/>
      <c r="CX70" s="194"/>
      <c r="CY70" s="194"/>
      <c r="CZ70" s="195"/>
      <c r="DA70" s="130"/>
      <c r="DB70" s="194"/>
      <c r="DC70" s="194"/>
      <c r="DD70" s="194"/>
      <c r="DE70" s="194"/>
      <c r="DF70" s="195"/>
      <c r="DG70" s="130"/>
      <c r="DH70" s="194"/>
      <c r="DI70" s="194"/>
      <c r="DJ70" s="194"/>
      <c r="DK70" s="194"/>
      <c r="DL70" s="195"/>
      <c r="DM70" s="130"/>
      <c r="DN70" s="194"/>
      <c r="DO70" s="194"/>
      <c r="DP70" s="194"/>
      <c r="DQ70" s="194"/>
      <c r="DR70" s="195"/>
      <c r="DS70" s="130"/>
      <c r="DT70" s="108"/>
      <c r="DU70" s="108"/>
      <c r="DW70" s="109"/>
      <c r="DX70" s="110">
        <f t="shared" si="13"/>
        <v>18</v>
      </c>
      <c r="DY70" s="111">
        <f t="shared" ref="DY70:DZ70" si="199">sum(BS70,BY70,CE70,CK70,CQ70,CW70,DC70,DI70,DO70)</f>
        <v>4</v>
      </c>
      <c r="DZ70" s="111">
        <f t="shared" si="199"/>
        <v>2</v>
      </c>
      <c r="EA70" s="110">
        <f t="shared" si="15"/>
        <v>36</v>
      </c>
      <c r="EB70" s="99" t="str">
        <f t="shared" si="16"/>
        <v>35 - 54</v>
      </c>
      <c r="EC70" s="112"/>
      <c r="ED70" s="113">
        <f t="shared" si="17"/>
        <v>4</v>
      </c>
      <c r="EE70" s="114">
        <f>IF(V70 &lt;&gt; "", 1+((V70-MIN(discount_rates))*(4)/(MAX(discount_rates) - MIN(discount_rates))), "")</f>
        <v>1</v>
      </c>
      <c r="EF70" s="114" t="str">
        <f>IF(Q70="Debt", (1+((S70-MIN(interest_rates))*(4)/(MAX(interest_rates) - MIN(interest_rates)))), "")</f>
        <v/>
      </c>
      <c r="EG70" s="114" t="str">
        <f>IF(OR(Q70="Revenue Share", Q70="Profit Share"), (1+((R70-MIN(return_mutiples))*(4)/(MAX(return_mutiples) - MIN(return_mutiples)))), "")</f>
        <v/>
      </c>
      <c r="EH70" s="115">
        <f t="shared" si="18"/>
        <v>4</v>
      </c>
      <c r="EI70" s="116" t="str">
        <f t="shared" si="19"/>
        <v>SAFE</v>
      </c>
      <c r="EJ70" s="117">
        <f t="shared" si="20"/>
        <v>0.3561643836</v>
      </c>
      <c r="EK70" s="116" t="str">
        <f t="shared" si="21"/>
        <v>Growth</v>
      </c>
      <c r="EL70" s="112"/>
      <c r="EM70" s="118">
        <f t="shared" si="22"/>
        <v>2.7</v>
      </c>
      <c r="EN70" s="118">
        <f t="shared" si="23"/>
        <v>3</v>
      </c>
      <c r="EO70" s="119">
        <f t="shared" si="24"/>
        <v>5.7</v>
      </c>
      <c r="EP70" s="115">
        <f>1+((EO70-MIN(market_ratings_sums))*(4)/(MAX(market_ratings_sums) - MIN(market_ratings_sums)))</f>
        <v>3.105263158</v>
      </c>
      <c r="EQ70" s="116" t="str">
        <f t="shared" si="25"/>
        <v>Yes</v>
      </c>
      <c r="ER70" s="112"/>
      <c r="ES70" s="123">
        <f>1+((DX70-MIN(industry_experiences))*(4)/(MAX(industry_experiences) - MIN(industry_experiences)))</f>
        <v>2.714285714</v>
      </c>
      <c r="ET70" s="123">
        <f>1+((DY70-MIN(previous_startups))*(4)/(MAX(previous_startups) - MIN(previous_startups)))</f>
        <v>2.777777778</v>
      </c>
      <c r="EU70" s="123">
        <f>1+((DZ70-MIN(exits))*(4)/(MAX(exits) - MIN(exits)))</f>
        <v>3</v>
      </c>
      <c r="EV70" s="119">
        <f t="shared" si="26"/>
        <v>8.492063492</v>
      </c>
      <c r="EW70" s="124">
        <f>1+((EV70-MIN(team_ratings_sums))*(4)/(MAX(team_ratings_sums) - MIN(team_ratings_sums)))</f>
        <v>4.008695652</v>
      </c>
      <c r="EX70" s="116" t="str">
        <f t="shared" si="27"/>
        <v>35 - 54</v>
      </c>
      <c r="EY70" s="125">
        <f t="shared" si="28"/>
        <v>0.6849315068</v>
      </c>
      <c r="EZ70" s="116">
        <f t="shared" si="29"/>
        <v>1</v>
      </c>
      <c r="FA70" s="125">
        <f t="shared" si="30"/>
        <v>0.4383561644</v>
      </c>
      <c r="FB70" s="116">
        <f t="shared" si="31"/>
        <v>13</v>
      </c>
      <c r="FC70" s="125">
        <f t="shared" si="32"/>
        <v>0.02739726027</v>
      </c>
      <c r="FD70" s="116" t="str">
        <f t="shared" si="33"/>
        <v>No</v>
      </c>
      <c r="FE70" s="125">
        <f t="shared" si="34"/>
        <v>0.7534246575</v>
      </c>
      <c r="FF70" s="116" t="str">
        <f t="shared" ref="FF70:FH70" si="200">BJ70</f>
        <v>No</v>
      </c>
      <c r="FG70" s="116" t="str">
        <f t="shared" si="200"/>
        <v>No</v>
      </c>
      <c r="FH70" s="116" t="str">
        <f t="shared" si="200"/>
        <v>No</v>
      </c>
      <c r="FI70" s="112"/>
      <c r="FJ70" s="116" t="str">
        <f t="shared" si="36"/>
        <v>Recurring</v>
      </c>
      <c r="FK70" s="125">
        <f t="shared" si="37"/>
        <v>0.397260274</v>
      </c>
      <c r="FL70" s="116" t="str">
        <f t="shared" si="38"/>
        <v>B2B/B2C</v>
      </c>
      <c r="FM70" s="125">
        <f t="shared" si="39"/>
        <v>0.3287671233</v>
      </c>
      <c r="FN70" s="116" t="str">
        <f t="shared" si="40"/>
        <v>High</v>
      </c>
      <c r="FO70" s="125">
        <f t="shared" si="41"/>
        <v>0.5616438356</v>
      </c>
      <c r="FP70" s="116" t="str">
        <f t="shared" si="42"/>
        <v>Low</v>
      </c>
      <c r="FQ70" s="125">
        <f t="shared" si="43"/>
        <v>0.3561643836</v>
      </c>
      <c r="FR70" s="112"/>
      <c r="FS70" s="123">
        <f t="shared" si="44"/>
        <v>5</v>
      </c>
      <c r="FT70" s="123">
        <f t="shared" si="45"/>
        <v>3.7</v>
      </c>
      <c r="FU70" s="123">
        <f t="shared" si="46"/>
        <v>5</v>
      </c>
      <c r="FV70" s="123">
        <f t="shared" si="47"/>
        <v>2.8</v>
      </c>
      <c r="FW70" s="119">
        <f t="shared" si="48"/>
        <v>16.5</v>
      </c>
      <c r="FX70" s="115">
        <f>1+((FW70-MIN(performance_ratings_sums))*(4)/(MAX(performance_ratings_sums) - MIN(performance_ratings_sums)))</f>
        <v>4.663551402</v>
      </c>
      <c r="FY70" s="116" t="str">
        <f t="shared" si="49"/>
        <v>Profitable</v>
      </c>
      <c r="FZ70" s="126">
        <f t="shared" si="50"/>
        <v>0.06849315068</v>
      </c>
      <c r="GA70" s="112"/>
      <c r="GB70" s="127">
        <f t="shared" si="51"/>
        <v>3</v>
      </c>
      <c r="GC70" s="116" t="str">
        <f t="shared" si="52"/>
        <v>No</v>
      </c>
      <c r="GD70" s="126">
        <f t="shared" si="53"/>
        <v>0.7671232877</v>
      </c>
      <c r="GE70" s="126" t="str">
        <f t="shared" si="54"/>
        <v>Low</v>
      </c>
      <c r="GF70" s="126">
        <f t="shared" si="55"/>
        <v>0.5479452055</v>
      </c>
      <c r="GG70" s="126" t="str">
        <f t="shared" si="56"/>
        <v>High</v>
      </c>
      <c r="GH70" s="126">
        <f t="shared" si="57"/>
        <v>0.8082191781</v>
      </c>
      <c r="GI70" s="112"/>
      <c r="GJ70" s="116"/>
      <c r="GK70" s="119">
        <f t="shared" si="58"/>
        <v>18.77751021</v>
      </c>
      <c r="GL70" s="128">
        <f>1+((GK70-MIN(ratings_sums))*(4)/(MAX(ratings_sums) - MIN(ratings_sums)))</f>
        <v>4.554286823</v>
      </c>
    </row>
    <row r="71" ht="15.75" customHeight="1">
      <c r="A71" s="200" t="s">
        <v>702</v>
      </c>
      <c r="B71" s="191">
        <v>1792907.0</v>
      </c>
      <c r="C71" s="180" t="s">
        <v>851</v>
      </c>
      <c r="D71" s="196">
        <v>43808.566666666666</v>
      </c>
      <c r="E71" s="175" t="s">
        <v>392</v>
      </c>
      <c r="F71" s="192" t="s">
        <v>852</v>
      </c>
      <c r="G71" s="192" t="s">
        <v>853</v>
      </c>
      <c r="H71" s="206">
        <v>43790.0</v>
      </c>
      <c r="I71" s="180" t="s">
        <v>854</v>
      </c>
      <c r="J71" s="180" t="s">
        <v>851</v>
      </c>
      <c r="K71" s="175" t="s">
        <v>489</v>
      </c>
      <c r="L71" s="175" t="s">
        <v>355</v>
      </c>
      <c r="M71" s="175" t="s">
        <v>31</v>
      </c>
      <c r="N71" s="175" t="s">
        <v>82</v>
      </c>
      <c r="O71" s="175" t="s">
        <v>35</v>
      </c>
      <c r="P71" s="171"/>
      <c r="Q71" s="175" t="s">
        <v>135</v>
      </c>
      <c r="R71" s="181"/>
      <c r="S71" s="182"/>
      <c r="T71" s="16">
        <v>5670000.0</v>
      </c>
      <c r="U71" s="183"/>
      <c r="V71" s="198"/>
      <c r="W71" s="96" t="str">
        <f t="shared" si="125"/>
        <v/>
      </c>
      <c r="X71" s="98">
        <f t="shared" si="126"/>
        <v>5670000</v>
      </c>
      <c r="Y71" s="99" t="str">
        <f t="shared" si="127"/>
        <v>$4M - $6M</v>
      </c>
      <c r="Z71" s="175" t="s">
        <v>86</v>
      </c>
      <c r="AA71" s="175" t="s">
        <v>87</v>
      </c>
      <c r="AB71" s="175" t="s">
        <v>38</v>
      </c>
      <c r="AC71" s="175" t="s">
        <v>493</v>
      </c>
      <c r="AD71" s="175" t="s">
        <v>89</v>
      </c>
      <c r="AE71" s="175" t="s">
        <v>39</v>
      </c>
      <c r="AF71" s="170" t="s">
        <v>469</v>
      </c>
      <c r="AG71" s="16">
        <v>3.47774E10</v>
      </c>
      <c r="AH71" s="97" t="str">
        <f t="shared" si="128"/>
        <v>$25B-$50B</v>
      </c>
      <c r="AI71" s="16">
        <v>2.0E9</v>
      </c>
      <c r="AJ71" s="97" t="str">
        <f t="shared" si="129"/>
        <v>$1B-$5B</v>
      </c>
      <c r="AK71" s="199">
        <v>0.036</v>
      </c>
      <c r="AL71" s="88" t="str">
        <f t="shared" si="130"/>
        <v>0%-10%</v>
      </c>
      <c r="AM71" s="191">
        <v>100.0</v>
      </c>
      <c r="AN71" s="175" t="s">
        <v>89</v>
      </c>
      <c r="AO71" s="175" t="s">
        <v>89</v>
      </c>
      <c r="AP71" s="175" t="s">
        <v>40</v>
      </c>
      <c r="AQ71" s="143" t="s">
        <v>39</v>
      </c>
      <c r="AR71" s="143" t="s">
        <v>39</v>
      </c>
      <c r="AS71" s="175" t="s">
        <v>493</v>
      </c>
      <c r="AT71" s="175" t="s">
        <v>469</v>
      </c>
      <c r="AU71" s="175" t="s">
        <v>493</v>
      </c>
      <c r="AV71" s="175" t="s">
        <v>469</v>
      </c>
      <c r="AW71" s="16">
        <v>118457.0</v>
      </c>
      <c r="AX71" s="96" t="str">
        <f t="shared" si="131"/>
        <v>$100K - $500K</v>
      </c>
      <c r="AY71" s="16">
        <v>55965.0</v>
      </c>
      <c r="AZ71" s="16">
        <v>1234000.0</v>
      </c>
      <c r="BA71" s="103" t="str">
        <f t="shared" si="132"/>
        <v>$1M - $2M</v>
      </c>
      <c r="BB71" s="103">
        <f t="shared" si="133"/>
        <v>0.04535251216</v>
      </c>
      <c r="BC71" s="103" t="str">
        <f t="shared" si="134"/>
        <v>&lt; 10%</v>
      </c>
      <c r="BD71" s="175" t="s">
        <v>41</v>
      </c>
      <c r="BE71" s="171"/>
      <c r="BF71" s="175" t="s">
        <v>493</v>
      </c>
      <c r="BG71" s="191">
        <v>4.0</v>
      </c>
      <c r="BH71" s="191">
        <v>2.0</v>
      </c>
      <c r="BI71" s="170" t="s">
        <v>469</v>
      </c>
      <c r="BJ71" s="175" t="s">
        <v>855</v>
      </c>
      <c r="BK71" s="175" t="s">
        <v>469</v>
      </c>
      <c r="BL71" s="175" t="s">
        <v>469</v>
      </c>
      <c r="BM71" s="191">
        <v>5.0</v>
      </c>
      <c r="BN71" s="191">
        <v>3.0</v>
      </c>
      <c r="BO71" s="191">
        <v>5.0</v>
      </c>
      <c r="BP71" s="191">
        <v>1.0</v>
      </c>
      <c r="BQ71" s="130"/>
      <c r="BR71" s="191">
        <v>2.0</v>
      </c>
      <c r="BS71" s="191">
        <v>0.0</v>
      </c>
      <c r="BT71" s="191">
        <v>0.0</v>
      </c>
      <c r="BU71" s="191">
        <v>28.0</v>
      </c>
      <c r="BV71" s="175" t="s">
        <v>493</v>
      </c>
      <c r="BW71" s="130"/>
      <c r="BX71" s="170">
        <v>2.0</v>
      </c>
      <c r="BY71" s="170">
        <v>5.0</v>
      </c>
      <c r="BZ71" s="170">
        <v>4.0</v>
      </c>
      <c r="CA71" s="170">
        <v>62.0</v>
      </c>
      <c r="CB71" s="170" t="s">
        <v>469</v>
      </c>
      <c r="CC71" s="130"/>
      <c r="CD71" s="171"/>
      <c r="CE71" s="171"/>
      <c r="CF71" s="171"/>
      <c r="CG71" s="171"/>
      <c r="CH71" s="171"/>
      <c r="CI71" s="130"/>
      <c r="CJ71" s="171"/>
      <c r="CK71" s="171"/>
      <c r="CL71" s="171"/>
      <c r="CM71" s="171"/>
      <c r="CN71" s="171"/>
      <c r="CO71" s="108"/>
      <c r="CP71" s="171"/>
      <c r="CQ71" s="171"/>
      <c r="CR71" s="171"/>
      <c r="CS71" s="171"/>
      <c r="CT71" s="171"/>
      <c r="CU71" s="130"/>
      <c r="CV71" s="171"/>
      <c r="CW71" s="171"/>
      <c r="CX71" s="171"/>
      <c r="CY71" s="171"/>
      <c r="CZ71" s="171"/>
      <c r="DA71" s="130"/>
      <c r="DB71" s="171"/>
      <c r="DC71" s="171"/>
      <c r="DD71" s="171"/>
      <c r="DE71" s="171"/>
      <c r="DF71" s="171"/>
      <c r="DG71" s="130"/>
      <c r="DH71" s="171"/>
      <c r="DI71" s="171"/>
      <c r="DJ71" s="171"/>
      <c r="DK71" s="171"/>
      <c r="DL71" s="171"/>
      <c r="DM71" s="130"/>
      <c r="DN71" s="171"/>
      <c r="DO71" s="171"/>
      <c r="DP71" s="171"/>
      <c r="DQ71" s="171"/>
      <c r="DR71" s="171"/>
      <c r="DS71" s="130"/>
      <c r="DT71" s="108"/>
      <c r="DU71" s="108"/>
      <c r="DW71" s="109"/>
      <c r="DX71" s="110">
        <f t="shared" si="13"/>
        <v>2</v>
      </c>
      <c r="DY71" s="111">
        <f t="shared" ref="DY71:DZ71" si="201">sum(BS71,BY71,CE71,CK71,CQ71,CW71,DC71,DI71,DO71)</f>
        <v>5</v>
      </c>
      <c r="DZ71" s="111">
        <f t="shared" si="201"/>
        <v>4</v>
      </c>
      <c r="EA71" s="110">
        <f t="shared" si="15"/>
        <v>45</v>
      </c>
      <c r="EB71" s="99" t="str">
        <f t="shared" si="16"/>
        <v>35 - 54</v>
      </c>
      <c r="EC71" s="112"/>
      <c r="ED71" s="113">
        <f t="shared" si="17"/>
        <v>4.4</v>
      </c>
      <c r="EE71" s="114" t="str">
        <f>IF(V71 &lt;&gt; "", 1+((V71-MIN(discount_rates))*(4)/(MAX(discount_rates) - MIN(discount_rates))), "")</f>
        <v/>
      </c>
      <c r="EF71" s="114" t="str">
        <f>IF(Q71="Debt", (1+((S71-MIN(interest_rates))*(4)/(MAX(interest_rates) - MIN(interest_rates)))), "")</f>
        <v/>
      </c>
      <c r="EG71" s="114" t="str">
        <f>IF(OR(Q71="Revenue Share", Q71="Profit Share"), (1+((R71-MIN(return_mutiples))*(4)/(MAX(return_mutiples) - MIN(return_mutiples)))), "")</f>
        <v/>
      </c>
      <c r="EH71" s="115">
        <f t="shared" si="18"/>
        <v>4.4</v>
      </c>
      <c r="EI71" s="116" t="str">
        <f t="shared" si="19"/>
        <v>Equity - Preferred</v>
      </c>
      <c r="EJ71" s="117">
        <f t="shared" si="20"/>
        <v>0.06849315068</v>
      </c>
      <c r="EK71" s="116" t="str">
        <f t="shared" si="21"/>
        <v>Early</v>
      </c>
      <c r="EL71" s="112"/>
      <c r="EM71" s="118">
        <f t="shared" si="22"/>
        <v>2.7</v>
      </c>
      <c r="EN71" s="118">
        <f t="shared" si="23"/>
        <v>1.7</v>
      </c>
      <c r="EO71" s="119">
        <f t="shared" si="24"/>
        <v>4.4</v>
      </c>
      <c r="EP71" s="115">
        <f>1+((EO71-MIN(market_ratings_sums))*(4)/(MAX(market_ratings_sums) - MIN(market_ratings_sums)))</f>
        <v>2.192982456</v>
      </c>
      <c r="EQ71" s="116" t="str">
        <f t="shared" si="25"/>
        <v>Yes</v>
      </c>
      <c r="ER71" s="112"/>
      <c r="ES71" s="123">
        <f>1+((DX71-MIN(industry_experiences))*(4)/(MAX(industry_experiences) - MIN(industry_experiences)))</f>
        <v>1.19047619</v>
      </c>
      <c r="ET71" s="123">
        <f>1+((DY71-MIN(previous_startups))*(4)/(MAX(previous_startups) - MIN(previous_startups)))</f>
        <v>3.222222222</v>
      </c>
      <c r="EU71" s="123">
        <f>1+((DZ71-MIN(exits))*(4)/(MAX(exits) - MIN(exits)))</f>
        <v>5</v>
      </c>
      <c r="EV71" s="119">
        <f t="shared" si="26"/>
        <v>9.412698413</v>
      </c>
      <c r="EW71" s="124">
        <f>1+((EV71-MIN(team_ratings_sums))*(4)/(MAX(team_ratings_sums) - MIN(team_ratings_sums)))</f>
        <v>4.513043478</v>
      </c>
      <c r="EX71" s="116" t="str">
        <f t="shared" si="27"/>
        <v>35 - 54</v>
      </c>
      <c r="EY71" s="125">
        <f t="shared" si="28"/>
        <v>0.6849315068</v>
      </c>
      <c r="EZ71" s="116">
        <f t="shared" si="29"/>
        <v>2</v>
      </c>
      <c r="FA71" s="125">
        <f t="shared" si="30"/>
        <v>0.4520547945</v>
      </c>
      <c r="FB71" s="116">
        <f t="shared" si="31"/>
        <v>3</v>
      </c>
      <c r="FC71" s="125">
        <f t="shared" si="32"/>
        <v>0.08219178082</v>
      </c>
      <c r="FD71" s="116" t="str">
        <f t="shared" si="33"/>
        <v>No</v>
      </c>
      <c r="FE71" s="125">
        <f t="shared" si="34"/>
        <v>0.7534246575</v>
      </c>
      <c r="FF71" s="116" t="str">
        <f t="shared" ref="FF71:FH71" si="202">BJ71</f>
        <v>yes</v>
      </c>
      <c r="FG71" s="116" t="str">
        <f t="shared" si="202"/>
        <v>No</v>
      </c>
      <c r="FH71" s="116" t="str">
        <f t="shared" si="202"/>
        <v>No</v>
      </c>
      <c r="FI71" s="112"/>
      <c r="FJ71" s="116" t="str">
        <f t="shared" si="36"/>
        <v>Recurring</v>
      </c>
      <c r="FK71" s="125">
        <f t="shared" si="37"/>
        <v>0.397260274</v>
      </c>
      <c r="FL71" s="116" t="str">
        <f t="shared" si="38"/>
        <v>B2C</v>
      </c>
      <c r="FM71" s="125">
        <f t="shared" si="39"/>
        <v>0.397260274</v>
      </c>
      <c r="FN71" s="116" t="str">
        <f t="shared" si="40"/>
        <v>Low</v>
      </c>
      <c r="FO71" s="125">
        <f t="shared" si="41"/>
        <v>0.4383561644</v>
      </c>
      <c r="FP71" s="116" t="str">
        <f t="shared" si="42"/>
        <v>High</v>
      </c>
      <c r="FQ71" s="125">
        <f t="shared" si="43"/>
        <v>0.6438356164</v>
      </c>
      <c r="FR71" s="112"/>
      <c r="FS71" s="123">
        <f t="shared" si="44"/>
        <v>3</v>
      </c>
      <c r="FT71" s="123">
        <f t="shared" si="45"/>
        <v>2.3</v>
      </c>
      <c r="FU71" s="123">
        <f t="shared" si="46"/>
        <v>5</v>
      </c>
      <c r="FV71" s="123">
        <f t="shared" si="47"/>
        <v>2.8</v>
      </c>
      <c r="FW71" s="119">
        <f t="shared" si="48"/>
        <v>13.1</v>
      </c>
      <c r="FX71" s="115">
        <f>1+((FW71-MIN(performance_ratings_sums))*(4)/(MAX(performance_ratings_sums) - MIN(performance_ratings_sums)))</f>
        <v>3.392523364</v>
      </c>
      <c r="FY71" s="116" t="str">
        <f t="shared" si="49"/>
        <v>Pre-Product</v>
      </c>
      <c r="FZ71" s="126">
        <f t="shared" si="50"/>
        <v>0.2328767123</v>
      </c>
      <c r="GA71" s="112"/>
      <c r="GB71" s="127">
        <f t="shared" si="51"/>
        <v>1</v>
      </c>
      <c r="GC71" s="116" t="str">
        <f t="shared" si="52"/>
        <v>No</v>
      </c>
      <c r="GD71" s="126">
        <f t="shared" si="53"/>
        <v>0.7671232877</v>
      </c>
      <c r="GE71" s="126" t="str">
        <f t="shared" si="54"/>
        <v>High</v>
      </c>
      <c r="GF71" s="126">
        <f t="shared" si="55"/>
        <v>0.4520547945</v>
      </c>
      <c r="GG71" s="126" t="str">
        <f t="shared" si="56"/>
        <v>High</v>
      </c>
      <c r="GH71" s="126">
        <f t="shared" si="57"/>
        <v>0.8082191781</v>
      </c>
      <c r="GI71" s="112"/>
      <c r="GJ71" s="116"/>
      <c r="GK71" s="119">
        <f t="shared" si="58"/>
        <v>15.4985493</v>
      </c>
      <c r="GL71" s="128">
        <f>1+((GK71-MIN(ratings_sums))*(4)/(MAX(ratings_sums) - MIN(ratings_sums)))</f>
        <v>3.548170563</v>
      </c>
    </row>
    <row r="72" ht="15.75" customHeight="1">
      <c r="A72" s="200" t="s">
        <v>702</v>
      </c>
      <c r="B72" s="191">
        <v>1722969.0</v>
      </c>
      <c r="C72" s="180" t="s">
        <v>856</v>
      </c>
      <c r="D72" s="196">
        <v>43809.43541666667</v>
      </c>
      <c r="E72" s="175" t="s">
        <v>381</v>
      </c>
      <c r="F72" s="192" t="s">
        <v>857</v>
      </c>
      <c r="G72" s="192" t="s">
        <v>858</v>
      </c>
      <c r="H72" s="193">
        <v>43809.0</v>
      </c>
      <c r="I72" s="180" t="s">
        <v>859</v>
      </c>
      <c r="J72" s="180" t="s">
        <v>859</v>
      </c>
      <c r="K72" s="175" t="s">
        <v>220</v>
      </c>
      <c r="L72" s="175" t="s">
        <v>117</v>
      </c>
      <c r="M72" s="175" t="s">
        <v>31</v>
      </c>
      <c r="N72" s="175" t="s">
        <v>82</v>
      </c>
      <c r="O72" s="175" t="s">
        <v>35</v>
      </c>
      <c r="P72" s="171"/>
      <c r="Q72" s="175" t="s">
        <v>121</v>
      </c>
      <c r="R72" s="181"/>
      <c r="S72" s="182"/>
      <c r="T72" s="16">
        <v>8.98E7</v>
      </c>
      <c r="U72" s="183"/>
      <c r="V72" s="198"/>
      <c r="W72" s="96" t="str">
        <f t="shared" si="125"/>
        <v/>
      </c>
      <c r="X72" s="98">
        <f t="shared" si="126"/>
        <v>89800000</v>
      </c>
      <c r="Y72" s="99" t="str">
        <f t="shared" si="127"/>
        <v>&lt; $40M</v>
      </c>
      <c r="Z72" s="175" t="s">
        <v>86</v>
      </c>
      <c r="AA72" s="175" t="s">
        <v>123</v>
      </c>
      <c r="AB72" s="175" t="s">
        <v>88</v>
      </c>
      <c r="AC72" s="175" t="s">
        <v>469</v>
      </c>
      <c r="AD72" s="175" t="s">
        <v>39</v>
      </c>
      <c r="AE72" s="175" t="s">
        <v>39</v>
      </c>
      <c r="AF72" s="170" t="s">
        <v>469</v>
      </c>
      <c r="AG72" s="16">
        <v>5.366E11</v>
      </c>
      <c r="AH72" s="97" t="str">
        <f t="shared" si="128"/>
        <v>$500B-$1T</v>
      </c>
      <c r="AI72" s="16">
        <v>2.2E10</v>
      </c>
      <c r="AJ72" s="97" t="str">
        <f t="shared" si="129"/>
        <v>$10B-$25B</v>
      </c>
      <c r="AK72" s="199">
        <v>0.04</v>
      </c>
      <c r="AL72" s="88" t="str">
        <f t="shared" si="130"/>
        <v>0%-10%</v>
      </c>
      <c r="AM72" s="191">
        <v>6.0</v>
      </c>
      <c r="AN72" s="175" t="s">
        <v>39</v>
      </c>
      <c r="AO72" s="175" t="s">
        <v>89</v>
      </c>
      <c r="AP72" s="175" t="s">
        <v>90</v>
      </c>
      <c r="AQ72" s="143" t="s">
        <v>39</v>
      </c>
      <c r="AR72" s="143" t="s">
        <v>89</v>
      </c>
      <c r="AS72" s="175" t="s">
        <v>493</v>
      </c>
      <c r="AT72" s="175" t="s">
        <v>493</v>
      </c>
      <c r="AU72" s="175" t="s">
        <v>493</v>
      </c>
      <c r="AV72" s="175" t="s">
        <v>469</v>
      </c>
      <c r="AW72" s="16">
        <v>0.0</v>
      </c>
      <c r="AX72" s="96" t="str">
        <f t="shared" si="131"/>
        <v>&lt; $10K</v>
      </c>
      <c r="AY72" s="16">
        <v>49646.0</v>
      </c>
      <c r="AZ72" s="21">
        <v>1140000.0</v>
      </c>
      <c r="BA72" s="103" t="str">
        <f t="shared" si="132"/>
        <v>$1M - $2M</v>
      </c>
      <c r="BB72" s="103">
        <f t="shared" si="133"/>
        <v>0.04354912281</v>
      </c>
      <c r="BC72" s="103" t="str">
        <f t="shared" si="134"/>
        <v>&lt; 10%</v>
      </c>
      <c r="BD72" s="175" t="s">
        <v>41</v>
      </c>
      <c r="BE72" s="171"/>
      <c r="BF72" s="175" t="s">
        <v>469</v>
      </c>
      <c r="BG72" s="191">
        <v>0.0</v>
      </c>
      <c r="BH72" s="191">
        <v>2.0</v>
      </c>
      <c r="BI72" s="170" t="s">
        <v>469</v>
      </c>
      <c r="BJ72" s="175" t="s">
        <v>469</v>
      </c>
      <c r="BK72" s="175" t="s">
        <v>469</v>
      </c>
      <c r="BL72" s="175" t="s">
        <v>469</v>
      </c>
      <c r="BM72" s="191">
        <v>3.0</v>
      </c>
      <c r="BN72" s="191">
        <v>14.0</v>
      </c>
      <c r="BO72" s="191">
        <v>0.0</v>
      </c>
      <c r="BP72" s="191">
        <v>0.0</v>
      </c>
      <c r="BQ72" s="130"/>
      <c r="BR72" s="191">
        <v>1.0</v>
      </c>
      <c r="BS72" s="191">
        <v>0.0</v>
      </c>
      <c r="BT72" s="191">
        <v>0.0</v>
      </c>
      <c r="BU72" s="191">
        <v>32.0</v>
      </c>
      <c r="BV72" s="175" t="s">
        <v>493</v>
      </c>
      <c r="BW72" s="130"/>
      <c r="BX72" s="170">
        <v>13.0</v>
      </c>
      <c r="BY72" s="170">
        <v>0.0</v>
      </c>
      <c r="BZ72" s="170">
        <v>0.0</v>
      </c>
      <c r="CA72" s="170">
        <v>36.0</v>
      </c>
      <c r="CB72" s="170" t="s">
        <v>469</v>
      </c>
      <c r="CC72" s="130"/>
      <c r="CD72" s="171"/>
      <c r="CE72" s="171"/>
      <c r="CF72" s="171"/>
      <c r="CG72" s="171"/>
      <c r="CH72" s="171"/>
      <c r="CI72" s="130"/>
      <c r="CJ72" s="171"/>
      <c r="CK72" s="171"/>
      <c r="CL72" s="171"/>
      <c r="CM72" s="171"/>
      <c r="CN72" s="171"/>
      <c r="CO72" s="108"/>
      <c r="CP72" s="171"/>
      <c r="CQ72" s="171"/>
      <c r="CR72" s="171"/>
      <c r="CS72" s="171"/>
      <c r="CT72" s="171"/>
      <c r="CU72" s="130"/>
      <c r="CV72" s="171"/>
      <c r="CW72" s="171"/>
      <c r="CX72" s="171"/>
      <c r="CY72" s="171"/>
      <c r="CZ72" s="171"/>
      <c r="DA72" s="130"/>
      <c r="DB72" s="171"/>
      <c r="DC72" s="171"/>
      <c r="DD72" s="171"/>
      <c r="DE72" s="171"/>
      <c r="DF72" s="171"/>
      <c r="DG72" s="130"/>
      <c r="DH72" s="171"/>
      <c r="DI72" s="171"/>
      <c r="DJ72" s="171"/>
      <c r="DK72" s="171"/>
      <c r="DL72" s="171"/>
      <c r="DM72" s="130"/>
      <c r="DN72" s="171"/>
      <c r="DO72" s="171"/>
      <c r="DP72" s="171"/>
      <c r="DQ72" s="171"/>
      <c r="DR72" s="171"/>
      <c r="DS72" s="130"/>
      <c r="DT72" s="108"/>
      <c r="DU72" s="108"/>
      <c r="DW72" s="109"/>
      <c r="DX72" s="110">
        <f t="shared" si="13"/>
        <v>7</v>
      </c>
      <c r="DY72" s="111">
        <f t="shared" ref="DY72:DZ72" si="203">sum(BS72,BY72,CE72,CK72,CQ72,CW72,DC72,DI72,DO72)</f>
        <v>0</v>
      </c>
      <c r="DZ72" s="111">
        <f t="shared" si="203"/>
        <v>0</v>
      </c>
      <c r="EA72" s="110">
        <f t="shared" si="15"/>
        <v>34</v>
      </c>
      <c r="EB72" s="99" t="str">
        <f t="shared" si="16"/>
        <v>20 - 34</v>
      </c>
      <c r="EC72" s="112"/>
      <c r="ED72" s="113">
        <f t="shared" si="17"/>
        <v>1</v>
      </c>
      <c r="EE72" s="114" t="str">
        <f>IF(V72 &lt;&gt; "", 1+((V72-MIN(discount_rates))*(4)/(MAX(discount_rates) - MIN(discount_rates))), "")</f>
        <v/>
      </c>
      <c r="EF72" s="114" t="str">
        <f>IF(Q72="Debt", (1+((S72-MIN(interest_rates))*(4)/(MAX(interest_rates) - MIN(interest_rates)))), "")</f>
        <v/>
      </c>
      <c r="EG72" s="114" t="str">
        <f>IF(OR(Q72="Revenue Share", Q72="Profit Share"), (1+((R72-MIN(return_mutiples))*(4)/(MAX(return_mutiples) - MIN(return_mutiples)))), "")</f>
        <v/>
      </c>
      <c r="EH72" s="115">
        <f t="shared" si="18"/>
        <v>1</v>
      </c>
      <c r="EI72" s="116" t="str">
        <f t="shared" si="19"/>
        <v>Equity - Common</v>
      </c>
      <c r="EJ72" s="117">
        <f t="shared" si="20"/>
        <v>0.3287671233</v>
      </c>
      <c r="EK72" s="116" t="str">
        <f t="shared" si="21"/>
        <v>Early</v>
      </c>
      <c r="EL72" s="112"/>
      <c r="EM72" s="118">
        <f t="shared" si="22"/>
        <v>3.3</v>
      </c>
      <c r="EN72" s="118">
        <f t="shared" si="23"/>
        <v>1.7</v>
      </c>
      <c r="EO72" s="119">
        <f t="shared" si="24"/>
        <v>5</v>
      </c>
      <c r="EP72" s="115">
        <f>1+((EO72-MIN(market_ratings_sums))*(4)/(MAX(market_ratings_sums) - MIN(market_ratings_sums)))</f>
        <v>2.614035088</v>
      </c>
      <c r="EQ72" s="116" t="str">
        <f t="shared" si="25"/>
        <v>Yes</v>
      </c>
      <c r="ER72" s="112"/>
      <c r="ES72" s="123">
        <f>1+((DX72-MIN(industry_experiences))*(4)/(MAX(industry_experiences) - MIN(industry_experiences)))</f>
        <v>1.666666667</v>
      </c>
      <c r="ET72" s="123">
        <f>1+((DY72-MIN(previous_startups))*(4)/(MAX(previous_startups) - MIN(previous_startups)))</f>
        <v>1</v>
      </c>
      <c r="EU72" s="123">
        <f>1+((DZ72-MIN(exits))*(4)/(MAX(exits) - MIN(exits)))</f>
        <v>1</v>
      </c>
      <c r="EV72" s="119">
        <f t="shared" si="26"/>
        <v>3.666666667</v>
      </c>
      <c r="EW72" s="124">
        <f>1+((EV72-MIN(team_ratings_sums))*(4)/(MAX(team_ratings_sums) - MIN(team_ratings_sums)))</f>
        <v>1.365217391</v>
      </c>
      <c r="EX72" s="116" t="str">
        <f t="shared" si="27"/>
        <v>20 - 34</v>
      </c>
      <c r="EY72" s="125">
        <f t="shared" si="28"/>
        <v>0.2054794521</v>
      </c>
      <c r="EZ72" s="116">
        <f t="shared" si="29"/>
        <v>2</v>
      </c>
      <c r="FA72" s="125">
        <f t="shared" si="30"/>
        <v>0.4520547945</v>
      </c>
      <c r="FB72" s="116">
        <f t="shared" si="31"/>
        <v>14</v>
      </c>
      <c r="FC72" s="125">
        <f t="shared" si="32"/>
        <v>0.02739726027</v>
      </c>
      <c r="FD72" s="116" t="str">
        <f t="shared" si="33"/>
        <v>No</v>
      </c>
      <c r="FE72" s="125">
        <f t="shared" si="34"/>
        <v>0.7534246575</v>
      </c>
      <c r="FF72" s="116" t="str">
        <f t="shared" ref="FF72:FH72" si="204">BJ72</f>
        <v>No</v>
      </c>
      <c r="FG72" s="116" t="str">
        <f t="shared" si="204"/>
        <v>No</v>
      </c>
      <c r="FH72" s="116" t="str">
        <f t="shared" si="204"/>
        <v>No</v>
      </c>
      <c r="FI72" s="112"/>
      <c r="FJ72" s="116" t="str">
        <f t="shared" si="36"/>
        <v>Recurring</v>
      </c>
      <c r="FK72" s="125">
        <f t="shared" si="37"/>
        <v>0.397260274</v>
      </c>
      <c r="FL72" s="116" t="str">
        <f t="shared" si="38"/>
        <v>B2B/B2C</v>
      </c>
      <c r="FM72" s="125">
        <f t="shared" si="39"/>
        <v>0.3287671233</v>
      </c>
      <c r="FN72" s="116" t="str">
        <f t="shared" si="40"/>
        <v>High</v>
      </c>
      <c r="FO72" s="125">
        <f t="shared" si="41"/>
        <v>0.5616438356</v>
      </c>
      <c r="FP72" s="116" t="str">
        <f t="shared" si="42"/>
        <v>High</v>
      </c>
      <c r="FQ72" s="125">
        <f t="shared" si="43"/>
        <v>0.6438356164</v>
      </c>
      <c r="FR72" s="112"/>
      <c r="FS72" s="123">
        <f t="shared" si="44"/>
        <v>3</v>
      </c>
      <c r="FT72" s="123">
        <f t="shared" si="45"/>
        <v>1</v>
      </c>
      <c r="FU72" s="123">
        <f t="shared" si="46"/>
        <v>5</v>
      </c>
      <c r="FV72" s="123">
        <f t="shared" si="47"/>
        <v>2.8</v>
      </c>
      <c r="FW72" s="119">
        <f t="shared" si="48"/>
        <v>11.8</v>
      </c>
      <c r="FX72" s="115">
        <f>1+((FW72-MIN(performance_ratings_sums))*(4)/(MAX(performance_ratings_sums) - MIN(performance_ratings_sums)))</f>
        <v>2.906542056</v>
      </c>
      <c r="FY72" s="116" t="str">
        <f t="shared" si="49"/>
        <v>Pre-Product</v>
      </c>
      <c r="FZ72" s="126">
        <f t="shared" si="50"/>
        <v>0.2328767123</v>
      </c>
      <c r="GA72" s="112"/>
      <c r="GB72" s="127">
        <f t="shared" si="51"/>
        <v>3</v>
      </c>
      <c r="GC72" s="116" t="str">
        <f t="shared" si="52"/>
        <v>Yes</v>
      </c>
      <c r="GD72" s="126">
        <f t="shared" si="53"/>
        <v>0.2328767123</v>
      </c>
      <c r="GE72" s="126" t="str">
        <f t="shared" si="54"/>
        <v>High</v>
      </c>
      <c r="GF72" s="126">
        <f t="shared" si="55"/>
        <v>0.4520547945</v>
      </c>
      <c r="GG72" s="126" t="str">
        <f t="shared" si="56"/>
        <v>Low</v>
      </c>
      <c r="GH72" s="126">
        <f t="shared" si="57"/>
        <v>0.1917808219</v>
      </c>
      <c r="GI72" s="112"/>
      <c r="GJ72" s="116"/>
      <c r="GK72" s="119">
        <f t="shared" si="58"/>
        <v>10.88579454</v>
      </c>
      <c r="GL72" s="128">
        <f>1+((GK72-MIN(ratings_sums))*(4)/(MAX(ratings_sums) - MIN(ratings_sums)))</f>
        <v>2.132793042</v>
      </c>
    </row>
    <row r="73" ht="15.75" customHeight="1">
      <c r="A73" s="176" t="s">
        <v>702</v>
      </c>
      <c r="B73" s="169">
        <v>1788204.0</v>
      </c>
      <c r="C73" s="177" t="s">
        <v>860</v>
      </c>
      <c r="D73" s="178">
        <v>43809.444444444445</v>
      </c>
      <c r="E73" s="170" t="s">
        <v>392</v>
      </c>
      <c r="F73" s="150" t="s">
        <v>861</v>
      </c>
      <c r="G73" s="150" t="s">
        <v>862</v>
      </c>
      <c r="H73" s="179">
        <v>43774.0</v>
      </c>
      <c r="I73" s="180" t="s">
        <v>863</v>
      </c>
      <c r="J73" s="180" t="s">
        <v>863</v>
      </c>
      <c r="K73" s="170" t="s">
        <v>448</v>
      </c>
      <c r="L73" s="170" t="s">
        <v>390</v>
      </c>
      <c r="M73" s="170" t="s">
        <v>31</v>
      </c>
      <c r="N73" s="170" t="s">
        <v>101</v>
      </c>
      <c r="O73" s="170" t="s">
        <v>35</v>
      </c>
      <c r="P73" s="171"/>
      <c r="Q73" s="170" t="s">
        <v>84</v>
      </c>
      <c r="R73" s="181"/>
      <c r="S73" s="182"/>
      <c r="T73" s="184"/>
      <c r="U73" s="21">
        <v>8300000.0</v>
      </c>
      <c r="V73" s="185">
        <v>0.2</v>
      </c>
      <c r="W73" s="96">
        <f t="shared" si="125"/>
        <v>6640000</v>
      </c>
      <c r="X73" s="98">
        <f t="shared" si="126"/>
        <v>6640000</v>
      </c>
      <c r="Y73" s="99" t="str">
        <f t="shared" si="127"/>
        <v>$6M - $8M</v>
      </c>
      <c r="Z73" s="170" t="s">
        <v>36</v>
      </c>
      <c r="AA73" s="170" t="s">
        <v>123</v>
      </c>
      <c r="AB73" s="170" t="s">
        <v>38</v>
      </c>
      <c r="AC73" s="170" t="s">
        <v>469</v>
      </c>
      <c r="AD73" s="170" t="s">
        <v>89</v>
      </c>
      <c r="AE73" s="170" t="s">
        <v>39</v>
      </c>
      <c r="AF73" s="170" t="s">
        <v>469</v>
      </c>
      <c r="AG73" s="184">
        <v>1.587868E12</v>
      </c>
      <c r="AH73" s="97" t="str">
        <f t="shared" si="128"/>
        <v>&gt; $1T</v>
      </c>
      <c r="AI73" s="184">
        <v>6.2E7</v>
      </c>
      <c r="AJ73" s="97" t="str">
        <f t="shared" si="129"/>
        <v>$50M-$100M</v>
      </c>
      <c r="AK73" s="186">
        <v>0.407</v>
      </c>
      <c r="AL73" s="88" t="str">
        <f t="shared" si="130"/>
        <v>40%-50%</v>
      </c>
      <c r="AM73" s="169">
        <v>25.0</v>
      </c>
      <c r="AN73" s="170" t="s">
        <v>89</v>
      </c>
      <c r="AO73" s="170" t="s">
        <v>89</v>
      </c>
      <c r="AP73" s="170" t="s">
        <v>40</v>
      </c>
      <c r="AQ73" s="100" t="s">
        <v>39</v>
      </c>
      <c r="AR73" s="100" t="s">
        <v>39</v>
      </c>
      <c r="AS73" s="170" t="s">
        <v>469</v>
      </c>
      <c r="AT73" s="170" t="s">
        <v>469</v>
      </c>
      <c r="AU73" s="170" t="s">
        <v>493</v>
      </c>
      <c r="AV73" s="170" t="s">
        <v>493</v>
      </c>
      <c r="AW73" s="184">
        <v>622601.0</v>
      </c>
      <c r="AX73" s="96" t="str">
        <f t="shared" si="131"/>
        <v>$500K - $1M</v>
      </c>
      <c r="AY73" s="184">
        <v>65512.0</v>
      </c>
      <c r="AZ73" s="21">
        <v>800000.0</v>
      </c>
      <c r="BA73" s="103" t="str">
        <f t="shared" si="132"/>
        <v>$500K - $1M</v>
      </c>
      <c r="BB73" s="103">
        <f t="shared" si="133"/>
        <v>0.08189</v>
      </c>
      <c r="BC73" s="103" t="str">
        <f t="shared" si="134"/>
        <v>&lt; 10%</v>
      </c>
      <c r="BD73" s="170" t="s">
        <v>107</v>
      </c>
      <c r="BE73" s="170"/>
      <c r="BF73" s="170" t="s">
        <v>493</v>
      </c>
      <c r="BG73" s="170">
        <v>3.0</v>
      </c>
      <c r="BH73" s="170">
        <v>2.0</v>
      </c>
      <c r="BI73" s="170" t="s">
        <v>493</v>
      </c>
      <c r="BJ73" s="170" t="s">
        <v>469</v>
      </c>
      <c r="BK73" s="170" t="s">
        <v>469</v>
      </c>
      <c r="BL73" s="170" t="s">
        <v>469</v>
      </c>
      <c r="BM73" s="170">
        <v>2.0</v>
      </c>
      <c r="BN73" s="169">
        <v>2.0</v>
      </c>
      <c r="BO73" s="169">
        <v>0.0</v>
      </c>
      <c r="BP73" s="169">
        <v>0.0</v>
      </c>
      <c r="BQ73" s="130"/>
      <c r="BR73" s="191">
        <v>15.0</v>
      </c>
      <c r="BS73" s="191">
        <v>1.0</v>
      </c>
      <c r="BT73" s="191">
        <v>0.0</v>
      </c>
      <c r="BU73" s="191">
        <v>48.0</v>
      </c>
      <c r="BV73" s="175" t="s">
        <v>469</v>
      </c>
      <c r="BW73" s="130"/>
      <c r="BX73" s="191">
        <v>16.0</v>
      </c>
      <c r="BY73" s="191">
        <v>1.0</v>
      </c>
      <c r="BZ73" s="191">
        <v>0.0</v>
      </c>
      <c r="CA73" s="191">
        <v>38.0</v>
      </c>
      <c r="CB73" s="175" t="s">
        <v>493</v>
      </c>
      <c r="CC73" s="130"/>
      <c r="CD73" s="174"/>
      <c r="CE73" s="174"/>
      <c r="CF73" s="174"/>
      <c r="CG73" s="174"/>
      <c r="CH73" s="174"/>
      <c r="CI73" s="130"/>
      <c r="CJ73" s="174"/>
      <c r="CK73" s="174"/>
      <c r="CL73" s="174"/>
      <c r="CM73" s="174"/>
      <c r="CN73" s="174"/>
      <c r="CO73" s="108"/>
      <c r="CP73" s="171"/>
      <c r="CQ73" s="171"/>
      <c r="CR73" s="171"/>
      <c r="CS73" s="171"/>
      <c r="CT73" s="171"/>
      <c r="CU73" s="130"/>
      <c r="CV73" s="171"/>
      <c r="CW73" s="171"/>
      <c r="CX73" s="171"/>
      <c r="CY73" s="171"/>
      <c r="CZ73" s="171"/>
      <c r="DA73" s="130"/>
      <c r="DB73" s="171"/>
      <c r="DC73" s="171"/>
      <c r="DD73" s="171"/>
      <c r="DE73" s="171"/>
      <c r="DF73" s="171"/>
      <c r="DG73" s="130"/>
      <c r="DH73" s="171"/>
      <c r="DI73" s="171"/>
      <c r="DJ73" s="171"/>
      <c r="DK73" s="171"/>
      <c r="DL73" s="171"/>
      <c r="DM73" s="130"/>
      <c r="DN73" s="171"/>
      <c r="DO73" s="171"/>
      <c r="DP73" s="171"/>
      <c r="DQ73" s="171"/>
      <c r="DR73" s="171"/>
      <c r="DS73" s="130"/>
      <c r="DT73" s="108"/>
      <c r="DU73" s="108"/>
      <c r="DW73" s="109"/>
      <c r="DX73" s="110">
        <f t="shared" si="13"/>
        <v>15.5</v>
      </c>
      <c r="DY73" s="111">
        <f t="shared" ref="DY73:DZ73" si="205">sum(BS73,BY73,CE73,CK73,CQ73,CW73,DC73,DI73,DO73)</f>
        <v>2</v>
      </c>
      <c r="DZ73" s="111">
        <f t="shared" si="205"/>
        <v>0</v>
      </c>
      <c r="EA73" s="110">
        <f t="shared" si="15"/>
        <v>43</v>
      </c>
      <c r="EB73" s="99" t="str">
        <f t="shared" si="16"/>
        <v>35 - 54</v>
      </c>
      <c r="EC73" s="112"/>
      <c r="ED73" s="113">
        <f t="shared" si="17"/>
        <v>4.2</v>
      </c>
      <c r="EE73" s="114">
        <f>IF(V73 &lt;&gt; "", 1+((V73-MIN(discount_rates))*(4)/(MAX(discount_rates) - MIN(discount_rates))), "")</f>
        <v>3.105263158</v>
      </c>
      <c r="EF73" s="114" t="str">
        <f>IF(Q73="Debt", (1+((S73-MIN(interest_rates))*(4)/(MAX(interest_rates) - MIN(interest_rates)))), "")</f>
        <v/>
      </c>
      <c r="EG73" s="114" t="str">
        <f>IF(OR(Q73="Revenue Share", Q73="Profit Share"), (1+((R73-MIN(return_mutiples))*(4)/(MAX(return_mutiples) - MIN(return_mutiples)))), "")</f>
        <v/>
      </c>
      <c r="EH73" s="115">
        <f t="shared" si="18"/>
        <v>4.2</v>
      </c>
      <c r="EI73" s="116" t="str">
        <f t="shared" si="19"/>
        <v>Convertible Note</v>
      </c>
      <c r="EJ73" s="117">
        <f t="shared" si="20"/>
        <v>0.1232876712</v>
      </c>
      <c r="EK73" s="116" t="str">
        <f t="shared" si="21"/>
        <v>Early</v>
      </c>
      <c r="EL73" s="112"/>
      <c r="EM73" s="118">
        <f t="shared" si="22"/>
        <v>1.6</v>
      </c>
      <c r="EN73" s="118">
        <f t="shared" si="23"/>
        <v>4.3</v>
      </c>
      <c r="EO73" s="119">
        <f t="shared" si="24"/>
        <v>5.9</v>
      </c>
      <c r="EP73" s="115">
        <f>1+((EO73-MIN(market_ratings_sums))*(4)/(MAX(market_ratings_sums) - MIN(market_ratings_sums)))</f>
        <v>3.245614035</v>
      </c>
      <c r="EQ73" s="116" t="str">
        <f t="shared" si="25"/>
        <v>No</v>
      </c>
      <c r="ER73" s="112"/>
      <c r="ES73" s="123">
        <f>1+((DX73-MIN(industry_experiences))*(4)/(MAX(industry_experiences) - MIN(industry_experiences)))</f>
        <v>2.476190476</v>
      </c>
      <c r="ET73" s="123">
        <f>1+((DY73-MIN(previous_startups))*(4)/(MAX(previous_startups) - MIN(previous_startups)))</f>
        <v>1.888888889</v>
      </c>
      <c r="EU73" s="123">
        <f>1+((DZ73-MIN(exits))*(4)/(MAX(exits) - MIN(exits)))</f>
        <v>1</v>
      </c>
      <c r="EV73" s="119">
        <f t="shared" si="26"/>
        <v>5.365079365</v>
      </c>
      <c r="EW73" s="124">
        <f>1+((EV73-MIN(team_ratings_sums))*(4)/(MAX(team_ratings_sums) - MIN(team_ratings_sums)))</f>
        <v>2.295652174</v>
      </c>
      <c r="EX73" s="116" t="str">
        <f t="shared" si="27"/>
        <v>35 - 54</v>
      </c>
      <c r="EY73" s="125">
        <f t="shared" si="28"/>
        <v>0.6849315068</v>
      </c>
      <c r="EZ73" s="116">
        <f t="shared" si="29"/>
        <v>2</v>
      </c>
      <c r="FA73" s="125">
        <f t="shared" si="30"/>
        <v>0.4520547945</v>
      </c>
      <c r="FB73" s="116">
        <f t="shared" si="31"/>
        <v>2</v>
      </c>
      <c r="FC73" s="125">
        <f t="shared" si="32"/>
        <v>0.1369863014</v>
      </c>
      <c r="FD73" s="116" t="str">
        <f t="shared" si="33"/>
        <v>Yes</v>
      </c>
      <c r="FE73" s="125">
        <f t="shared" si="34"/>
        <v>0.2465753425</v>
      </c>
      <c r="FF73" s="116" t="str">
        <f t="shared" ref="FF73:FH73" si="206">BJ73</f>
        <v>No</v>
      </c>
      <c r="FG73" s="116" t="str">
        <f t="shared" si="206"/>
        <v>No</v>
      </c>
      <c r="FH73" s="116" t="str">
        <f t="shared" si="206"/>
        <v>No</v>
      </c>
      <c r="FI73" s="112"/>
      <c r="FJ73" s="116" t="str">
        <f t="shared" si="36"/>
        <v>Transactional</v>
      </c>
      <c r="FK73" s="125">
        <f t="shared" si="37"/>
        <v>0.602739726</v>
      </c>
      <c r="FL73" s="116" t="str">
        <f t="shared" si="38"/>
        <v>B2B/B2C</v>
      </c>
      <c r="FM73" s="125">
        <f t="shared" si="39"/>
        <v>0.3287671233</v>
      </c>
      <c r="FN73" s="116" t="str">
        <f t="shared" si="40"/>
        <v>Low</v>
      </c>
      <c r="FO73" s="125">
        <f t="shared" si="41"/>
        <v>0.4383561644</v>
      </c>
      <c r="FP73" s="116" t="str">
        <f t="shared" si="42"/>
        <v>High</v>
      </c>
      <c r="FQ73" s="125">
        <f t="shared" si="43"/>
        <v>0.6438356164</v>
      </c>
      <c r="FR73" s="112"/>
      <c r="FS73" s="123">
        <f t="shared" si="44"/>
        <v>5</v>
      </c>
      <c r="FT73" s="123">
        <f t="shared" si="45"/>
        <v>2.8</v>
      </c>
      <c r="FU73" s="123">
        <f t="shared" si="46"/>
        <v>5</v>
      </c>
      <c r="FV73" s="123">
        <f t="shared" si="47"/>
        <v>3.2</v>
      </c>
      <c r="FW73" s="119">
        <f t="shared" si="48"/>
        <v>16</v>
      </c>
      <c r="FX73" s="115">
        <f>1+((FW73-MIN(performance_ratings_sums))*(4)/(MAX(performance_ratings_sums) - MIN(performance_ratings_sums)))</f>
        <v>4.476635514</v>
      </c>
      <c r="FY73" s="116" t="str">
        <f t="shared" si="49"/>
        <v>Pre-Profit</v>
      </c>
      <c r="FZ73" s="126">
        <f t="shared" si="50"/>
        <v>0.4931506849</v>
      </c>
      <c r="GA73" s="112"/>
      <c r="GB73" s="127">
        <f t="shared" si="51"/>
        <v>1</v>
      </c>
      <c r="GC73" s="116" t="str">
        <f t="shared" si="52"/>
        <v>No</v>
      </c>
      <c r="GD73" s="126">
        <f t="shared" si="53"/>
        <v>0.7671232877</v>
      </c>
      <c r="GE73" s="126" t="str">
        <f t="shared" si="54"/>
        <v>High</v>
      </c>
      <c r="GF73" s="126">
        <f t="shared" si="55"/>
        <v>0.4520547945</v>
      </c>
      <c r="GG73" s="126" t="str">
        <f t="shared" si="56"/>
        <v>High</v>
      </c>
      <c r="GH73" s="126">
        <f t="shared" si="57"/>
        <v>0.8082191781</v>
      </c>
      <c r="GI73" s="112"/>
      <c r="GJ73" s="116"/>
      <c r="GK73" s="119">
        <f t="shared" si="58"/>
        <v>15.21790172</v>
      </c>
      <c r="GL73" s="128">
        <f>1+((GK73-MIN(ratings_sums))*(4)/(MAX(ratings_sums) - MIN(ratings_sums)))</f>
        <v>3.46205667</v>
      </c>
    </row>
    <row r="74" ht="15.75" customHeight="1">
      <c r="A74" s="200" t="s">
        <v>702</v>
      </c>
      <c r="B74" s="191">
        <v>1790674.0</v>
      </c>
      <c r="C74" s="180" t="s">
        <v>864</v>
      </c>
      <c r="D74" s="204">
        <v>43810.44375</v>
      </c>
      <c r="E74" s="175" t="s">
        <v>369</v>
      </c>
      <c r="F74" s="192" t="s">
        <v>865</v>
      </c>
      <c r="G74" s="192" t="s">
        <v>866</v>
      </c>
      <c r="H74" s="193">
        <v>43808.0</v>
      </c>
      <c r="I74" s="180" t="s">
        <v>867</v>
      </c>
      <c r="J74" s="180" t="s">
        <v>864</v>
      </c>
      <c r="K74" s="175" t="s">
        <v>322</v>
      </c>
      <c r="L74" s="175" t="s">
        <v>99</v>
      </c>
      <c r="M74" s="175" t="s">
        <v>31</v>
      </c>
      <c r="N74" s="175" t="s">
        <v>82</v>
      </c>
      <c r="O74" s="175" t="s">
        <v>35</v>
      </c>
      <c r="P74" s="171"/>
      <c r="Q74" s="175" t="s">
        <v>195</v>
      </c>
      <c r="R74" s="181"/>
      <c r="S74" s="182"/>
      <c r="T74" s="16"/>
      <c r="U74" s="21">
        <v>1.0E7</v>
      </c>
      <c r="V74" s="198">
        <v>0.0</v>
      </c>
      <c r="W74" s="96">
        <f t="shared" si="125"/>
        <v>10000000</v>
      </c>
      <c r="X74" s="98">
        <f t="shared" si="126"/>
        <v>10000000</v>
      </c>
      <c r="Y74" s="99" t="str">
        <f t="shared" si="127"/>
        <v>$8M - $10M</v>
      </c>
      <c r="Z74" s="175" t="s">
        <v>36</v>
      </c>
      <c r="AA74" s="175" t="s">
        <v>37</v>
      </c>
      <c r="AB74" s="175" t="s">
        <v>38</v>
      </c>
      <c r="AC74" s="175" t="s">
        <v>469</v>
      </c>
      <c r="AD74" s="175" t="s">
        <v>39</v>
      </c>
      <c r="AE74" s="175" t="s">
        <v>39</v>
      </c>
      <c r="AF74" s="170" t="s">
        <v>493</v>
      </c>
      <c r="AG74" s="16">
        <v>1.9E10</v>
      </c>
      <c r="AH74" s="97" t="str">
        <f t="shared" si="128"/>
        <v>$10B-$25B</v>
      </c>
      <c r="AI74" s="16">
        <v>1.9E10</v>
      </c>
      <c r="AJ74" s="97" t="str">
        <f t="shared" si="129"/>
        <v>$10B-$25B</v>
      </c>
      <c r="AK74" s="199">
        <v>0.171</v>
      </c>
      <c r="AL74" s="88" t="str">
        <f t="shared" si="130"/>
        <v>10%-20%</v>
      </c>
      <c r="AM74" s="191">
        <v>2.0</v>
      </c>
      <c r="AN74" s="175" t="s">
        <v>89</v>
      </c>
      <c r="AO74" s="175" t="s">
        <v>89</v>
      </c>
      <c r="AP74" s="175" t="s">
        <v>90</v>
      </c>
      <c r="AQ74" s="143" t="s">
        <v>39</v>
      </c>
      <c r="AR74" s="143" t="s">
        <v>89</v>
      </c>
      <c r="AS74" s="175" t="s">
        <v>493</v>
      </c>
      <c r="AT74" s="175" t="s">
        <v>493</v>
      </c>
      <c r="AU74" s="175" t="s">
        <v>493</v>
      </c>
      <c r="AV74" s="175" t="s">
        <v>469</v>
      </c>
      <c r="AW74" s="16">
        <v>0.0</v>
      </c>
      <c r="AX74" s="96" t="str">
        <f t="shared" si="131"/>
        <v>&lt; $10K</v>
      </c>
      <c r="AY74" s="16">
        <v>14068.0</v>
      </c>
      <c r="AZ74" s="21">
        <v>1300000.0</v>
      </c>
      <c r="BA74" s="103" t="str">
        <f t="shared" si="132"/>
        <v>$1M - $2M</v>
      </c>
      <c r="BB74" s="103">
        <f t="shared" si="133"/>
        <v>0.01082153846</v>
      </c>
      <c r="BC74" s="103" t="str">
        <f t="shared" si="134"/>
        <v>&lt; 10%</v>
      </c>
      <c r="BD74" s="175" t="s">
        <v>91</v>
      </c>
      <c r="BE74" s="171"/>
      <c r="BF74" s="175" t="s">
        <v>469</v>
      </c>
      <c r="BG74" s="175">
        <v>0.0</v>
      </c>
      <c r="BH74" s="191">
        <v>3.0</v>
      </c>
      <c r="BI74" s="170" t="s">
        <v>493</v>
      </c>
      <c r="BJ74" s="175" t="s">
        <v>493</v>
      </c>
      <c r="BK74" s="175" t="s">
        <v>493</v>
      </c>
      <c r="BL74" s="175" t="s">
        <v>469</v>
      </c>
      <c r="BM74" s="191">
        <v>5.0</v>
      </c>
      <c r="BN74" s="191">
        <v>15.0</v>
      </c>
      <c r="BO74" s="191">
        <v>0.0</v>
      </c>
      <c r="BP74" s="191">
        <v>0.0</v>
      </c>
      <c r="BQ74" s="130"/>
      <c r="BR74" s="191">
        <v>3.0</v>
      </c>
      <c r="BS74" s="191">
        <v>1.0</v>
      </c>
      <c r="BT74" s="191">
        <v>0.0</v>
      </c>
      <c r="BU74" s="191">
        <v>26.0</v>
      </c>
      <c r="BV74" s="175" t="s">
        <v>469</v>
      </c>
      <c r="BW74" s="130"/>
      <c r="BX74" s="191">
        <v>7.0</v>
      </c>
      <c r="BY74" s="191">
        <v>0.0</v>
      </c>
      <c r="BZ74" s="191">
        <v>0.0</v>
      </c>
      <c r="CA74" s="191">
        <v>30.0</v>
      </c>
      <c r="CB74" s="175" t="s">
        <v>469</v>
      </c>
      <c r="CC74" s="130"/>
      <c r="CD74" s="191">
        <v>30.0</v>
      </c>
      <c r="CE74" s="191">
        <v>0.0</v>
      </c>
      <c r="CF74" s="191">
        <v>0.0</v>
      </c>
      <c r="CG74" s="191">
        <v>30.0</v>
      </c>
      <c r="CH74" s="175" t="s">
        <v>469</v>
      </c>
      <c r="CI74" s="130"/>
      <c r="CJ74" s="191"/>
      <c r="CK74" s="191"/>
      <c r="CL74" s="191"/>
      <c r="CM74" s="191"/>
      <c r="CN74" s="175"/>
      <c r="CO74" s="108"/>
      <c r="CP74" s="171"/>
      <c r="CQ74" s="171"/>
      <c r="CR74" s="171"/>
      <c r="CS74" s="171"/>
      <c r="CT74" s="171"/>
      <c r="CU74" s="130"/>
      <c r="CV74" s="171"/>
      <c r="CW74" s="171"/>
      <c r="CX74" s="171"/>
      <c r="CY74" s="171"/>
      <c r="CZ74" s="171"/>
      <c r="DA74" s="130"/>
      <c r="DB74" s="171"/>
      <c r="DC74" s="171"/>
      <c r="DD74" s="171"/>
      <c r="DE74" s="171"/>
      <c r="DF74" s="171"/>
      <c r="DG74" s="130"/>
      <c r="DH74" s="171"/>
      <c r="DI74" s="171"/>
      <c r="DJ74" s="171"/>
      <c r="DK74" s="171"/>
      <c r="DL74" s="171"/>
      <c r="DM74" s="130"/>
      <c r="DN74" s="171"/>
      <c r="DO74" s="171"/>
      <c r="DP74" s="171"/>
      <c r="DQ74" s="171"/>
      <c r="DR74" s="171"/>
      <c r="DS74" s="130"/>
      <c r="DT74" s="108"/>
      <c r="DU74" s="108"/>
      <c r="DW74" s="109"/>
      <c r="DX74" s="110">
        <f t="shared" si="13"/>
        <v>13.33333333</v>
      </c>
      <c r="DY74" s="111">
        <f t="shared" ref="DY74:DZ74" si="207">sum(BS74,BY74,CE74,CK74,CQ74,CW74,DC74,DI74,DO74)</f>
        <v>1</v>
      </c>
      <c r="DZ74" s="111">
        <f t="shared" si="207"/>
        <v>0</v>
      </c>
      <c r="EA74" s="110">
        <f t="shared" si="15"/>
        <v>28.66666667</v>
      </c>
      <c r="EB74" s="99" t="str">
        <f t="shared" si="16"/>
        <v>20 - 34</v>
      </c>
      <c r="EC74" s="112"/>
      <c r="ED74" s="113">
        <f t="shared" si="17"/>
        <v>4</v>
      </c>
      <c r="EE74" s="114">
        <f>IF(V74 &lt;&gt; "", 1+((V74-MIN(discount_rates))*(4)/(MAX(discount_rates) - MIN(discount_rates))), "")</f>
        <v>1</v>
      </c>
      <c r="EF74" s="114" t="str">
        <f>IF(Q74="Debt", (1+((S74-MIN(interest_rates))*(4)/(MAX(interest_rates) - MIN(interest_rates)))), "")</f>
        <v/>
      </c>
      <c r="EG74" s="114" t="str">
        <f>IF(OR(Q74="Revenue Share", Q74="Profit Share"), (1+((R74-MIN(return_mutiples))*(4)/(MAX(return_mutiples) - MIN(return_mutiples)))), "")</f>
        <v/>
      </c>
      <c r="EH74" s="115">
        <f t="shared" si="18"/>
        <v>4</v>
      </c>
      <c r="EI74" s="116" t="str">
        <f t="shared" si="19"/>
        <v>SAFE</v>
      </c>
      <c r="EJ74" s="117">
        <f t="shared" si="20"/>
        <v>0.3561643836</v>
      </c>
      <c r="EK74" s="116" t="str">
        <f t="shared" si="21"/>
        <v>Early</v>
      </c>
      <c r="EL74" s="112"/>
      <c r="EM74" s="118">
        <f t="shared" si="22"/>
        <v>3.3</v>
      </c>
      <c r="EN74" s="118">
        <f t="shared" si="23"/>
        <v>2.3</v>
      </c>
      <c r="EO74" s="119">
        <f t="shared" si="24"/>
        <v>5.6</v>
      </c>
      <c r="EP74" s="115">
        <f>1+((EO74-MIN(market_ratings_sums))*(4)/(MAX(market_ratings_sums) - MIN(market_ratings_sums)))</f>
        <v>3.035087719</v>
      </c>
      <c r="EQ74" s="116" t="str">
        <f t="shared" si="25"/>
        <v>Yes</v>
      </c>
      <c r="ER74" s="112"/>
      <c r="ES74" s="123">
        <f>1+((DX74-MIN(industry_experiences))*(4)/(MAX(industry_experiences) - MIN(industry_experiences)))</f>
        <v>2.26984127</v>
      </c>
      <c r="ET74" s="123">
        <f>1+((DY74-MIN(previous_startups))*(4)/(MAX(previous_startups) - MIN(previous_startups)))</f>
        <v>1.444444444</v>
      </c>
      <c r="EU74" s="123">
        <f>1+((DZ74-MIN(exits))*(4)/(MAX(exits) - MIN(exits)))</f>
        <v>1</v>
      </c>
      <c r="EV74" s="119">
        <f t="shared" si="26"/>
        <v>4.714285714</v>
      </c>
      <c r="EW74" s="124">
        <f>1+((EV74-MIN(team_ratings_sums))*(4)/(MAX(team_ratings_sums) - MIN(team_ratings_sums)))</f>
        <v>1.939130435</v>
      </c>
      <c r="EX74" s="116" t="str">
        <f t="shared" si="27"/>
        <v>20 - 34</v>
      </c>
      <c r="EY74" s="125">
        <f t="shared" si="28"/>
        <v>0.2054794521</v>
      </c>
      <c r="EZ74" s="116">
        <f t="shared" si="29"/>
        <v>3</v>
      </c>
      <c r="FA74" s="125">
        <f t="shared" si="30"/>
        <v>0.05479452055</v>
      </c>
      <c r="FB74" s="116">
        <f t="shared" si="31"/>
        <v>15</v>
      </c>
      <c r="FC74" s="125">
        <f t="shared" si="32"/>
        <v>0.01369863014</v>
      </c>
      <c r="FD74" s="116" t="str">
        <f t="shared" si="33"/>
        <v>Yes</v>
      </c>
      <c r="FE74" s="125">
        <f t="shared" si="34"/>
        <v>0.2465753425</v>
      </c>
      <c r="FF74" s="116" t="str">
        <f t="shared" ref="FF74:FH74" si="208">BJ74</f>
        <v>Yes</v>
      </c>
      <c r="FG74" s="116" t="str">
        <f t="shared" si="208"/>
        <v>Yes</v>
      </c>
      <c r="FH74" s="116" t="str">
        <f t="shared" si="208"/>
        <v>No</v>
      </c>
      <c r="FI74" s="112"/>
      <c r="FJ74" s="116" t="str">
        <f t="shared" si="36"/>
        <v>Transactional</v>
      </c>
      <c r="FK74" s="125">
        <f t="shared" si="37"/>
        <v>0.602739726</v>
      </c>
      <c r="FL74" s="116" t="str">
        <f t="shared" si="38"/>
        <v>B2B</v>
      </c>
      <c r="FM74" s="125">
        <f t="shared" si="39"/>
        <v>0.2465753425</v>
      </c>
      <c r="FN74" s="116" t="str">
        <f t="shared" si="40"/>
        <v>High</v>
      </c>
      <c r="FO74" s="125">
        <f t="shared" si="41"/>
        <v>0.5616438356</v>
      </c>
      <c r="FP74" s="116" t="str">
        <f t="shared" si="42"/>
        <v>High</v>
      </c>
      <c r="FQ74" s="125">
        <f t="shared" si="43"/>
        <v>0.6438356164</v>
      </c>
      <c r="FR74" s="112"/>
      <c r="FS74" s="123">
        <f t="shared" si="44"/>
        <v>3</v>
      </c>
      <c r="FT74" s="123">
        <f t="shared" si="45"/>
        <v>1</v>
      </c>
      <c r="FU74" s="123">
        <f t="shared" si="46"/>
        <v>5</v>
      </c>
      <c r="FV74" s="123">
        <f t="shared" si="47"/>
        <v>2.8</v>
      </c>
      <c r="FW74" s="119">
        <f t="shared" si="48"/>
        <v>11.8</v>
      </c>
      <c r="FX74" s="115">
        <f>1+((FW74-MIN(performance_ratings_sums))*(4)/(MAX(performance_ratings_sums) - MIN(performance_ratings_sums)))</f>
        <v>2.906542056</v>
      </c>
      <c r="FY74" s="116" t="str">
        <f t="shared" si="49"/>
        <v>Pre-Revenue</v>
      </c>
      <c r="FZ74" s="126">
        <f t="shared" si="50"/>
        <v>0.2054794521</v>
      </c>
      <c r="GA74" s="112"/>
      <c r="GB74" s="127">
        <f t="shared" si="51"/>
        <v>1</v>
      </c>
      <c r="GC74" s="116" t="str">
        <f t="shared" si="52"/>
        <v>Yes</v>
      </c>
      <c r="GD74" s="126">
        <f t="shared" si="53"/>
        <v>0.2328767123</v>
      </c>
      <c r="GE74" s="126" t="str">
        <f t="shared" si="54"/>
        <v>High</v>
      </c>
      <c r="GF74" s="126">
        <f t="shared" si="55"/>
        <v>0.4520547945</v>
      </c>
      <c r="GG74" s="126" t="str">
        <f t="shared" si="56"/>
        <v>Low</v>
      </c>
      <c r="GH74" s="126">
        <f t="shared" si="57"/>
        <v>0.1917808219</v>
      </c>
      <c r="GI74" s="112"/>
      <c r="GJ74" s="116"/>
      <c r="GK74" s="119">
        <f t="shared" si="58"/>
        <v>12.88076021</v>
      </c>
      <c r="GL74" s="128">
        <f>1+((GK74-MIN(ratings_sums))*(4)/(MAX(ratings_sums) - MIN(ratings_sums)))</f>
        <v>2.744928244</v>
      </c>
    </row>
    <row r="75" ht="15.75" customHeight="1">
      <c r="A75" s="200" t="s">
        <v>702</v>
      </c>
      <c r="B75" s="191">
        <v>1751794.0</v>
      </c>
      <c r="C75" s="180" t="s">
        <v>868</v>
      </c>
      <c r="D75" s="196">
        <v>43810.46527777778</v>
      </c>
      <c r="E75" s="175" t="s">
        <v>392</v>
      </c>
      <c r="F75" s="192" t="s">
        <v>869</v>
      </c>
      <c r="G75" s="192" t="s">
        <v>870</v>
      </c>
      <c r="H75" s="193">
        <v>43752.0</v>
      </c>
      <c r="I75" s="197" t="s">
        <v>871</v>
      </c>
      <c r="J75" s="197" t="s">
        <v>868</v>
      </c>
      <c r="K75" s="175" t="s">
        <v>448</v>
      </c>
      <c r="L75" s="175" t="s">
        <v>379</v>
      </c>
      <c r="M75" s="175" t="s">
        <v>31</v>
      </c>
      <c r="N75" s="175" t="s">
        <v>82</v>
      </c>
      <c r="O75" s="175" t="s">
        <v>35</v>
      </c>
      <c r="P75" s="171"/>
      <c r="Q75" s="175" t="s">
        <v>195</v>
      </c>
      <c r="R75" s="181"/>
      <c r="S75" s="182"/>
      <c r="T75" s="16"/>
      <c r="U75" s="21">
        <v>6500000.0</v>
      </c>
      <c r="V75" s="198">
        <v>0.2</v>
      </c>
      <c r="W75" s="96">
        <f t="shared" si="125"/>
        <v>5200000</v>
      </c>
      <c r="X75" s="98">
        <f t="shared" si="126"/>
        <v>5200000</v>
      </c>
      <c r="Y75" s="99" t="str">
        <f t="shared" si="127"/>
        <v>$4M - $6M</v>
      </c>
      <c r="Z75" s="175" t="s">
        <v>36</v>
      </c>
      <c r="AA75" s="175" t="s">
        <v>87</v>
      </c>
      <c r="AB75" s="175" t="s">
        <v>88</v>
      </c>
      <c r="AC75" s="175" t="s">
        <v>493</v>
      </c>
      <c r="AD75" s="175" t="s">
        <v>39</v>
      </c>
      <c r="AE75" s="175" t="s">
        <v>89</v>
      </c>
      <c r="AF75" s="170" t="s">
        <v>469</v>
      </c>
      <c r="AG75" s="16">
        <v>1.7338555E10</v>
      </c>
      <c r="AH75" s="97" t="str">
        <f t="shared" si="128"/>
        <v>$10B-$25B</v>
      </c>
      <c r="AI75" s="16">
        <v>1.7338555E10</v>
      </c>
      <c r="AJ75" s="97" t="str">
        <f t="shared" si="129"/>
        <v>$10B-$25B</v>
      </c>
      <c r="AK75" s="199">
        <v>0.105</v>
      </c>
      <c r="AL75" s="88" t="str">
        <f t="shared" si="130"/>
        <v>10%-20%</v>
      </c>
      <c r="AM75" s="191">
        <v>9.0</v>
      </c>
      <c r="AN75" s="175" t="s">
        <v>89</v>
      </c>
      <c r="AO75" s="175" t="s">
        <v>89</v>
      </c>
      <c r="AP75" s="175" t="s">
        <v>40</v>
      </c>
      <c r="AQ75" s="143" t="s">
        <v>39</v>
      </c>
      <c r="AR75" s="143" t="s">
        <v>39</v>
      </c>
      <c r="AS75" s="175" t="s">
        <v>493</v>
      </c>
      <c r="AT75" s="175" t="s">
        <v>469</v>
      </c>
      <c r="AU75" s="175" t="s">
        <v>493</v>
      </c>
      <c r="AV75" s="175" t="s">
        <v>493</v>
      </c>
      <c r="AW75" s="16">
        <v>56277.0</v>
      </c>
      <c r="AX75" s="96" t="str">
        <f t="shared" si="131"/>
        <v>$50K - $100K</v>
      </c>
      <c r="AY75" s="21">
        <v>12898.0</v>
      </c>
      <c r="AZ75" s="16">
        <v>491578.0</v>
      </c>
      <c r="BA75" s="103" t="str">
        <f t="shared" si="132"/>
        <v>$100K - $500K</v>
      </c>
      <c r="BB75" s="103">
        <f t="shared" si="133"/>
        <v>0.02623795206</v>
      </c>
      <c r="BC75" s="103" t="str">
        <f t="shared" si="134"/>
        <v>&lt; 10%</v>
      </c>
      <c r="BD75" s="175" t="s">
        <v>107</v>
      </c>
      <c r="BE75" s="171"/>
      <c r="BF75" s="175" t="s">
        <v>469</v>
      </c>
      <c r="BG75" s="170">
        <v>0.0</v>
      </c>
      <c r="BH75" s="191">
        <v>1.0</v>
      </c>
      <c r="BI75" s="90" t="s">
        <v>469</v>
      </c>
      <c r="BJ75" s="175" t="s">
        <v>469</v>
      </c>
      <c r="BK75" s="175" t="s">
        <v>469</v>
      </c>
      <c r="BL75" s="175" t="s">
        <v>469</v>
      </c>
      <c r="BM75" s="191">
        <v>0.0</v>
      </c>
      <c r="BN75" s="191">
        <v>9.0</v>
      </c>
      <c r="BO75" s="191">
        <v>0.0</v>
      </c>
      <c r="BP75" s="191">
        <v>0.0</v>
      </c>
      <c r="BQ75" s="130"/>
      <c r="BR75" s="191">
        <v>3.0</v>
      </c>
      <c r="BS75" s="191">
        <v>8.0</v>
      </c>
      <c r="BT75" s="191">
        <v>2.0</v>
      </c>
      <c r="BU75" s="191">
        <v>42.0</v>
      </c>
      <c r="BV75" s="175" t="s">
        <v>469</v>
      </c>
      <c r="BW75" s="130"/>
      <c r="BX75" s="171"/>
      <c r="BY75" s="171"/>
      <c r="BZ75" s="171"/>
      <c r="CA75" s="171"/>
      <c r="CB75" s="171"/>
      <c r="CC75" s="130"/>
      <c r="CD75" s="171"/>
      <c r="CE75" s="171"/>
      <c r="CF75" s="171"/>
      <c r="CG75" s="171"/>
      <c r="CH75" s="171"/>
      <c r="CI75" s="130"/>
      <c r="CJ75" s="171"/>
      <c r="CK75" s="171"/>
      <c r="CL75" s="171"/>
      <c r="CM75" s="171"/>
      <c r="CN75" s="171"/>
      <c r="CO75" s="108"/>
      <c r="CP75" s="194"/>
      <c r="CQ75" s="194"/>
      <c r="CR75" s="194"/>
      <c r="CS75" s="194"/>
      <c r="CT75" s="195"/>
      <c r="CU75" s="130"/>
      <c r="CV75" s="194"/>
      <c r="CW75" s="194"/>
      <c r="CX75" s="194"/>
      <c r="CY75" s="194"/>
      <c r="CZ75" s="195"/>
      <c r="DA75" s="130"/>
      <c r="DB75" s="194"/>
      <c r="DC75" s="194"/>
      <c r="DD75" s="194"/>
      <c r="DE75" s="194"/>
      <c r="DF75" s="195"/>
      <c r="DG75" s="130"/>
      <c r="DH75" s="194"/>
      <c r="DI75" s="194"/>
      <c r="DJ75" s="194"/>
      <c r="DK75" s="194"/>
      <c r="DL75" s="195"/>
      <c r="DM75" s="130"/>
      <c r="DN75" s="194"/>
      <c r="DO75" s="194"/>
      <c r="DP75" s="194"/>
      <c r="DQ75" s="194"/>
      <c r="DR75" s="195"/>
      <c r="DS75" s="130"/>
      <c r="DT75" s="108"/>
      <c r="DU75" s="108"/>
      <c r="DW75" s="109"/>
      <c r="DX75" s="110">
        <f t="shared" si="13"/>
        <v>3</v>
      </c>
      <c r="DY75" s="111">
        <f t="shared" ref="DY75:DZ75" si="209">sum(BS75,BY75,CE75,CK75,CQ75,CW75,DC75,DI75,DO75)</f>
        <v>8</v>
      </c>
      <c r="DZ75" s="111">
        <f t="shared" si="209"/>
        <v>2</v>
      </c>
      <c r="EA75" s="110">
        <f t="shared" si="15"/>
        <v>42</v>
      </c>
      <c r="EB75" s="99" t="str">
        <f t="shared" si="16"/>
        <v>35 - 54</v>
      </c>
      <c r="EC75" s="112"/>
      <c r="ED75" s="113">
        <f t="shared" si="17"/>
        <v>4.4</v>
      </c>
      <c r="EE75" s="114">
        <f>IF(V75 &lt;&gt; "", 1+((V75-MIN(discount_rates))*(4)/(MAX(discount_rates) - MIN(discount_rates))), "")</f>
        <v>3.105263158</v>
      </c>
      <c r="EF75" s="114" t="str">
        <f>IF(Q75="Debt", (1+((S75-MIN(interest_rates))*(4)/(MAX(interest_rates) - MIN(interest_rates)))), "")</f>
        <v/>
      </c>
      <c r="EG75" s="114" t="str">
        <f>IF(OR(Q75="Revenue Share", Q75="Profit Share"), (1+((R75-MIN(return_mutiples))*(4)/(MAX(return_mutiples) - MIN(return_mutiples)))), "")</f>
        <v/>
      </c>
      <c r="EH75" s="115">
        <f t="shared" si="18"/>
        <v>4.4</v>
      </c>
      <c r="EI75" s="116" t="str">
        <f t="shared" si="19"/>
        <v>SAFE</v>
      </c>
      <c r="EJ75" s="117">
        <f t="shared" si="20"/>
        <v>0.3561643836</v>
      </c>
      <c r="EK75" s="116" t="str">
        <f t="shared" si="21"/>
        <v>Early</v>
      </c>
      <c r="EL75" s="112"/>
      <c r="EM75" s="118">
        <f t="shared" si="22"/>
        <v>3.3</v>
      </c>
      <c r="EN75" s="118">
        <f t="shared" si="23"/>
        <v>2.3</v>
      </c>
      <c r="EO75" s="119">
        <f t="shared" si="24"/>
        <v>5.6</v>
      </c>
      <c r="EP75" s="115">
        <f>1+((EO75-MIN(market_ratings_sums))*(4)/(MAX(market_ratings_sums) - MIN(market_ratings_sums)))</f>
        <v>3.035087719</v>
      </c>
      <c r="EQ75" s="116" t="str">
        <f t="shared" si="25"/>
        <v>Yes</v>
      </c>
      <c r="ER75" s="112"/>
      <c r="ES75" s="123">
        <f>1+((DX75-MIN(industry_experiences))*(4)/(MAX(industry_experiences) - MIN(industry_experiences)))</f>
        <v>1.285714286</v>
      </c>
      <c r="ET75" s="123">
        <f>1+((DY75-MIN(previous_startups))*(4)/(MAX(previous_startups) - MIN(previous_startups)))</f>
        <v>4.555555556</v>
      </c>
      <c r="EU75" s="123">
        <f>1+((DZ75-MIN(exits))*(4)/(MAX(exits) - MIN(exits)))</f>
        <v>3</v>
      </c>
      <c r="EV75" s="119">
        <f t="shared" si="26"/>
        <v>8.841269841</v>
      </c>
      <c r="EW75" s="124">
        <f>1+((EV75-MIN(team_ratings_sums))*(4)/(MAX(team_ratings_sums) - MIN(team_ratings_sums)))</f>
        <v>4.2</v>
      </c>
      <c r="EX75" s="116" t="str">
        <f t="shared" si="27"/>
        <v>35 - 54</v>
      </c>
      <c r="EY75" s="125">
        <f t="shared" si="28"/>
        <v>0.6849315068</v>
      </c>
      <c r="EZ75" s="116">
        <f t="shared" si="29"/>
        <v>1</v>
      </c>
      <c r="FA75" s="125">
        <f t="shared" si="30"/>
        <v>0.4383561644</v>
      </c>
      <c r="FB75" s="116">
        <f t="shared" si="31"/>
        <v>9</v>
      </c>
      <c r="FC75" s="125">
        <f t="shared" si="32"/>
        <v>0.05479452055</v>
      </c>
      <c r="FD75" s="116" t="str">
        <f t="shared" si="33"/>
        <v>No</v>
      </c>
      <c r="FE75" s="125">
        <f t="shared" si="34"/>
        <v>0.7534246575</v>
      </c>
      <c r="FF75" s="116" t="str">
        <f t="shared" ref="FF75:FH75" si="210">BJ75</f>
        <v>No</v>
      </c>
      <c r="FG75" s="116" t="str">
        <f t="shared" si="210"/>
        <v>No</v>
      </c>
      <c r="FH75" s="116" t="str">
        <f t="shared" si="210"/>
        <v>No</v>
      </c>
      <c r="FI75" s="112"/>
      <c r="FJ75" s="116" t="str">
        <f t="shared" si="36"/>
        <v>Transactional</v>
      </c>
      <c r="FK75" s="125">
        <f t="shared" si="37"/>
        <v>0.602739726</v>
      </c>
      <c r="FL75" s="116" t="str">
        <f t="shared" si="38"/>
        <v>B2C</v>
      </c>
      <c r="FM75" s="125">
        <f t="shared" si="39"/>
        <v>0.397260274</v>
      </c>
      <c r="FN75" s="116" t="str">
        <f t="shared" si="40"/>
        <v>High</v>
      </c>
      <c r="FO75" s="125">
        <f t="shared" si="41"/>
        <v>0.5616438356</v>
      </c>
      <c r="FP75" s="116" t="str">
        <f t="shared" si="42"/>
        <v>Low</v>
      </c>
      <c r="FQ75" s="125">
        <f t="shared" si="43"/>
        <v>0.3561643836</v>
      </c>
      <c r="FR75" s="112"/>
      <c r="FS75" s="123">
        <f t="shared" si="44"/>
        <v>5</v>
      </c>
      <c r="FT75" s="123">
        <f t="shared" si="45"/>
        <v>1.9</v>
      </c>
      <c r="FU75" s="123">
        <f t="shared" si="46"/>
        <v>5</v>
      </c>
      <c r="FV75" s="123">
        <f t="shared" si="47"/>
        <v>3.7</v>
      </c>
      <c r="FW75" s="119">
        <f t="shared" si="48"/>
        <v>15.6</v>
      </c>
      <c r="FX75" s="115">
        <f>1+((FW75-MIN(performance_ratings_sums))*(4)/(MAX(performance_ratings_sums) - MIN(performance_ratings_sums)))</f>
        <v>4.327102804</v>
      </c>
      <c r="FY75" s="116" t="str">
        <f t="shared" si="49"/>
        <v>Pre-Profit</v>
      </c>
      <c r="FZ75" s="126">
        <f t="shared" si="50"/>
        <v>0.4931506849</v>
      </c>
      <c r="GA75" s="112"/>
      <c r="GB75" s="127">
        <f t="shared" si="51"/>
        <v>1</v>
      </c>
      <c r="GC75" s="116" t="str">
        <f t="shared" si="52"/>
        <v>No</v>
      </c>
      <c r="GD75" s="126">
        <f t="shared" si="53"/>
        <v>0.7671232877</v>
      </c>
      <c r="GE75" s="126" t="str">
        <f t="shared" si="54"/>
        <v>High</v>
      </c>
      <c r="GF75" s="126">
        <f t="shared" si="55"/>
        <v>0.4520547945</v>
      </c>
      <c r="GG75" s="126" t="str">
        <f t="shared" si="56"/>
        <v>High</v>
      </c>
      <c r="GH75" s="126">
        <f t="shared" si="57"/>
        <v>0.8082191781</v>
      </c>
      <c r="GI75" s="112"/>
      <c r="GJ75" s="116"/>
      <c r="GK75" s="119">
        <f t="shared" si="58"/>
        <v>16.96219052</v>
      </c>
      <c r="GL75" s="128">
        <f>1+((GK75-MIN(ratings_sums))*(4)/(MAX(ratings_sums) - MIN(ratings_sums)))</f>
        <v>3.997274189</v>
      </c>
    </row>
    <row r="76" ht="15.75" customHeight="1">
      <c r="A76" s="176" t="s">
        <v>702</v>
      </c>
      <c r="B76" s="169">
        <v>1617797.0</v>
      </c>
      <c r="C76" s="177" t="s">
        <v>872</v>
      </c>
      <c r="D76" s="178">
        <v>43811.44305555556</v>
      </c>
      <c r="E76" s="170" t="s">
        <v>369</v>
      </c>
      <c r="F76" s="150" t="s">
        <v>873</v>
      </c>
      <c r="G76" s="150" t="s">
        <v>874</v>
      </c>
      <c r="H76" s="179">
        <v>43809.0</v>
      </c>
      <c r="I76" s="180" t="s">
        <v>875</v>
      </c>
      <c r="J76" s="180" t="s">
        <v>872</v>
      </c>
      <c r="K76" s="170" t="s">
        <v>458</v>
      </c>
      <c r="L76" s="170" t="s">
        <v>154</v>
      </c>
      <c r="M76" s="170" t="s">
        <v>81</v>
      </c>
      <c r="N76" s="170" t="s">
        <v>101</v>
      </c>
      <c r="O76" s="170" t="s">
        <v>35</v>
      </c>
      <c r="P76" s="174"/>
      <c r="Q76" s="170" t="s">
        <v>195</v>
      </c>
      <c r="R76" s="181"/>
      <c r="S76" s="182"/>
      <c r="T76" s="184"/>
      <c r="U76" s="21">
        <v>1.0E7</v>
      </c>
      <c r="V76" s="185">
        <v>0.1</v>
      </c>
      <c r="W76" s="96">
        <f t="shared" si="125"/>
        <v>9000000</v>
      </c>
      <c r="X76" s="98">
        <f t="shared" si="126"/>
        <v>9000000</v>
      </c>
      <c r="Y76" s="99" t="str">
        <f t="shared" si="127"/>
        <v>$8M - $10M</v>
      </c>
      <c r="Z76" s="170" t="s">
        <v>86</v>
      </c>
      <c r="AA76" s="170" t="s">
        <v>105</v>
      </c>
      <c r="AB76" s="170" t="s">
        <v>88</v>
      </c>
      <c r="AC76" s="170" t="s">
        <v>493</v>
      </c>
      <c r="AD76" s="170" t="s">
        <v>39</v>
      </c>
      <c r="AE76" s="170" t="s">
        <v>89</v>
      </c>
      <c r="AF76" s="170" t="s">
        <v>469</v>
      </c>
      <c r="AG76" s="184">
        <v>6.26E11</v>
      </c>
      <c r="AH76" s="97" t="str">
        <f t="shared" si="128"/>
        <v>$500B-$1T</v>
      </c>
      <c r="AI76" s="184">
        <v>2.79E11</v>
      </c>
      <c r="AJ76" s="97" t="str">
        <f t="shared" si="129"/>
        <v>$250B-$500B</v>
      </c>
      <c r="AK76" s="186">
        <v>0.12</v>
      </c>
      <c r="AL76" s="88" t="str">
        <f t="shared" si="130"/>
        <v>10%-20%</v>
      </c>
      <c r="AM76" s="170">
        <v>100.0</v>
      </c>
      <c r="AN76" s="170" t="s">
        <v>39</v>
      </c>
      <c r="AO76" s="170" t="s">
        <v>89</v>
      </c>
      <c r="AP76" s="170" t="s">
        <v>90</v>
      </c>
      <c r="AQ76" s="100" t="s">
        <v>89</v>
      </c>
      <c r="AR76" s="100" t="s">
        <v>39</v>
      </c>
      <c r="AS76" s="170" t="s">
        <v>493</v>
      </c>
      <c r="AT76" s="170" t="s">
        <v>493</v>
      </c>
      <c r="AU76" s="170" t="s">
        <v>493</v>
      </c>
      <c r="AV76" s="170" t="s">
        <v>493</v>
      </c>
      <c r="AW76" s="184">
        <v>418213.0</v>
      </c>
      <c r="AX76" s="96" t="str">
        <f t="shared" si="131"/>
        <v>$100K - $500K</v>
      </c>
      <c r="AY76" s="184">
        <v>70224.0</v>
      </c>
      <c r="AZ76" s="21">
        <v>2000000.0</v>
      </c>
      <c r="BA76" s="103" t="str">
        <f t="shared" si="132"/>
        <v>$1M - $2M</v>
      </c>
      <c r="BB76" s="103">
        <f t="shared" si="133"/>
        <v>0.035112</v>
      </c>
      <c r="BC76" s="103" t="str">
        <f t="shared" si="134"/>
        <v>&lt; 10%</v>
      </c>
      <c r="BD76" s="170" t="s">
        <v>107</v>
      </c>
      <c r="BE76" s="174"/>
      <c r="BF76" s="170" t="s">
        <v>493</v>
      </c>
      <c r="BG76" s="170">
        <v>6.0</v>
      </c>
      <c r="BH76" s="169">
        <v>1.0</v>
      </c>
      <c r="BI76" s="90" t="s">
        <v>469</v>
      </c>
      <c r="BJ76" s="170" t="s">
        <v>493</v>
      </c>
      <c r="BK76" s="170" t="s">
        <v>469</v>
      </c>
      <c r="BL76" s="170" t="s">
        <v>469</v>
      </c>
      <c r="BM76" s="169">
        <v>6.0</v>
      </c>
      <c r="BN76" s="169">
        <v>11.0</v>
      </c>
      <c r="BO76" s="169">
        <v>2.0</v>
      </c>
      <c r="BP76" s="169">
        <v>0.0</v>
      </c>
      <c r="BQ76" s="108"/>
      <c r="BR76" s="15">
        <v>7.0</v>
      </c>
      <c r="BS76" s="15">
        <v>1.0</v>
      </c>
      <c r="BT76" s="15">
        <v>1.0</v>
      </c>
      <c r="BU76" s="15">
        <v>61.0</v>
      </c>
      <c r="BV76" s="15" t="s">
        <v>493</v>
      </c>
      <c r="BW76" s="108"/>
      <c r="CC76" s="108"/>
      <c r="CI76" s="108"/>
      <c r="CO76" s="108"/>
      <c r="CU76" s="108"/>
      <c r="DA76" s="108"/>
      <c r="DG76" s="108"/>
      <c r="DM76" s="108"/>
      <c r="DS76" s="108"/>
      <c r="DT76" s="108"/>
      <c r="DU76" s="108"/>
      <c r="DW76" s="109"/>
      <c r="DX76" s="110">
        <f t="shared" si="13"/>
        <v>7</v>
      </c>
      <c r="DY76" s="111">
        <f t="shared" ref="DY76:DZ76" si="211">sum(BS76,BY76,CE76,CK76,CQ76,CW76,DC76,DI76,DO76)</f>
        <v>1</v>
      </c>
      <c r="DZ76" s="111">
        <f t="shared" si="211"/>
        <v>1</v>
      </c>
      <c r="EA76" s="110">
        <f t="shared" si="15"/>
        <v>61</v>
      </c>
      <c r="EB76" s="99" t="str">
        <f t="shared" si="16"/>
        <v>55+</v>
      </c>
      <c r="EC76" s="112"/>
      <c r="ED76" s="113">
        <f t="shared" si="17"/>
        <v>4</v>
      </c>
      <c r="EE76" s="114">
        <f>IF(V76 &lt;&gt; "", 1+((V76-MIN(discount_rates))*(4)/(MAX(discount_rates) - MIN(discount_rates))), "")</f>
        <v>2.052631579</v>
      </c>
      <c r="EF76" s="114" t="str">
        <f>IF(Q76="Debt", (1+((S76-MIN(interest_rates))*(4)/(MAX(interest_rates) - MIN(interest_rates)))), "")</f>
        <v/>
      </c>
      <c r="EG76" s="114" t="str">
        <f>IF(OR(Q76="Revenue Share", Q76="Profit Share"), (1+((R76-MIN(return_mutiples))*(4)/(MAX(return_mutiples) - MIN(return_mutiples)))), "")</f>
        <v/>
      </c>
      <c r="EH76" s="115">
        <f t="shared" si="18"/>
        <v>4</v>
      </c>
      <c r="EI76" s="116" t="str">
        <f t="shared" si="19"/>
        <v>SAFE</v>
      </c>
      <c r="EJ76" s="117">
        <f t="shared" si="20"/>
        <v>0.3561643836</v>
      </c>
      <c r="EK76" s="116" t="str">
        <f t="shared" si="21"/>
        <v>Growth</v>
      </c>
      <c r="EL76" s="112"/>
      <c r="EM76" s="118">
        <f t="shared" si="22"/>
        <v>4.4</v>
      </c>
      <c r="EN76" s="118">
        <f t="shared" si="23"/>
        <v>2.3</v>
      </c>
      <c r="EO76" s="119">
        <f t="shared" si="24"/>
        <v>6.7</v>
      </c>
      <c r="EP76" s="115">
        <f>1+((EO76-MIN(market_ratings_sums))*(4)/(MAX(market_ratings_sums) - MIN(market_ratings_sums)))</f>
        <v>3.807017544</v>
      </c>
      <c r="EQ76" s="116" t="str">
        <f t="shared" si="25"/>
        <v>Yes</v>
      </c>
      <c r="ER76" s="112"/>
      <c r="ES76" s="123">
        <f>1+((DX76-MIN(industry_experiences))*(4)/(MAX(industry_experiences) - MIN(industry_experiences)))</f>
        <v>1.666666667</v>
      </c>
      <c r="ET76" s="123">
        <f>1+((DY76-MIN(previous_startups))*(4)/(MAX(previous_startups) - MIN(previous_startups)))</f>
        <v>1.444444444</v>
      </c>
      <c r="EU76" s="123">
        <f>1+((DZ76-MIN(exits))*(4)/(MAX(exits) - MIN(exits)))</f>
        <v>2</v>
      </c>
      <c r="EV76" s="119">
        <f t="shared" si="26"/>
        <v>5.111111111</v>
      </c>
      <c r="EW76" s="124">
        <f>1+((EV76-MIN(team_ratings_sums))*(4)/(MAX(team_ratings_sums) - MIN(team_ratings_sums)))</f>
        <v>2.156521739</v>
      </c>
      <c r="EX76" s="116" t="str">
        <f t="shared" si="27"/>
        <v>55+</v>
      </c>
      <c r="EY76" s="125">
        <f t="shared" si="28"/>
        <v>0.1095890411</v>
      </c>
      <c r="EZ76" s="116">
        <f t="shared" si="29"/>
        <v>1</v>
      </c>
      <c r="FA76" s="125">
        <f t="shared" si="30"/>
        <v>0.4383561644</v>
      </c>
      <c r="FB76" s="116">
        <f t="shared" si="31"/>
        <v>11</v>
      </c>
      <c r="FC76" s="125">
        <f t="shared" si="32"/>
        <v>0.02739726027</v>
      </c>
      <c r="FD76" s="116" t="str">
        <f t="shared" si="33"/>
        <v>No</v>
      </c>
      <c r="FE76" s="125">
        <f t="shared" si="34"/>
        <v>0.7534246575</v>
      </c>
      <c r="FF76" s="116" t="str">
        <f t="shared" ref="FF76:FH76" si="212">BJ76</f>
        <v>Yes</v>
      </c>
      <c r="FG76" s="116" t="str">
        <f t="shared" si="212"/>
        <v>No</v>
      </c>
      <c r="FH76" s="116" t="str">
        <f t="shared" si="212"/>
        <v>No</v>
      </c>
      <c r="FI76" s="112"/>
      <c r="FJ76" s="116" t="str">
        <f t="shared" si="36"/>
        <v>Recurring</v>
      </c>
      <c r="FK76" s="125">
        <f t="shared" si="37"/>
        <v>0.397260274</v>
      </c>
      <c r="FL76" s="116" t="str">
        <f t="shared" si="38"/>
        <v>B2B2C</v>
      </c>
      <c r="FM76" s="125">
        <f t="shared" si="39"/>
        <v>0.02739726027</v>
      </c>
      <c r="FN76" s="116" t="str">
        <f t="shared" si="40"/>
        <v>High</v>
      </c>
      <c r="FO76" s="125">
        <f t="shared" si="41"/>
        <v>0.5616438356</v>
      </c>
      <c r="FP76" s="116" t="str">
        <f t="shared" si="42"/>
        <v>Low</v>
      </c>
      <c r="FQ76" s="125">
        <f t="shared" si="43"/>
        <v>0.3561643836</v>
      </c>
      <c r="FR76" s="112"/>
      <c r="FS76" s="123">
        <f t="shared" si="44"/>
        <v>5</v>
      </c>
      <c r="FT76" s="123">
        <f t="shared" si="45"/>
        <v>2.3</v>
      </c>
      <c r="FU76" s="123">
        <f t="shared" si="46"/>
        <v>5</v>
      </c>
      <c r="FV76" s="123">
        <f t="shared" si="47"/>
        <v>2.8</v>
      </c>
      <c r="FW76" s="119">
        <f t="shared" si="48"/>
        <v>15.1</v>
      </c>
      <c r="FX76" s="115">
        <f>1+((FW76-MIN(performance_ratings_sums))*(4)/(MAX(performance_ratings_sums) - MIN(performance_ratings_sums)))</f>
        <v>4.140186916</v>
      </c>
      <c r="FY76" s="116" t="str">
        <f t="shared" si="49"/>
        <v>Pre-Profit</v>
      </c>
      <c r="FZ76" s="126">
        <f t="shared" si="50"/>
        <v>0.4931506849</v>
      </c>
      <c r="GA76" s="112"/>
      <c r="GB76" s="127">
        <f t="shared" si="51"/>
        <v>3</v>
      </c>
      <c r="GC76" s="116" t="str">
        <f t="shared" si="52"/>
        <v>Yes</v>
      </c>
      <c r="GD76" s="126">
        <f t="shared" si="53"/>
        <v>0.2328767123</v>
      </c>
      <c r="GE76" s="126" t="str">
        <f t="shared" si="54"/>
        <v>Low</v>
      </c>
      <c r="GF76" s="126">
        <f t="shared" si="55"/>
        <v>0.5479452055</v>
      </c>
      <c r="GG76" s="126" t="str">
        <f t="shared" si="56"/>
        <v>High</v>
      </c>
      <c r="GH76" s="126">
        <f t="shared" si="57"/>
        <v>0.8082191781</v>
      </c>
      <c r="GI76" s="112"/>
      <c r="GJ76" s="116"/>
      <c r="GK76" s="119">
        <f t="shared" si="58"/>
        <v>17.1037262</v>
      </c>
      <c r="GL76" s="128">
        <f>1+((GK76-MIN(ratings_sums))*(4)/(MAX(ratings_sums) - MIN(ratings_sums)))</f>
        <v>4.040702991</v>
      </c>
    </row>
    <row r="77" ht="15.75" customHeight="1">
      <c r="A77" s="176" t="s">
        <v>702</v>
      </c>
      <c r="B77" s="169">
        <v>1701666.0</v>
      </c>
      <c r="C77" s="177" t="s">
        <v>876</v>
      </c>
      <c r="D77" s="178">
        <v>43811.44583333333</v>
      </c>
      <c r="E77" s="170" t="s">
        <v>381</v>
      </c>
      <c r="F77" s="150" t="s">
        <v>877</v>
      </c>
      <c r="G77" s="150" t="s">
        <v>878</v>
      </c>
      <c r="H77" s="190">
        <v>43810.0</v>
      </c>
      <c r="I77" s="180" t="s">
        <v>879</v>
      </c>
      <c r="J77" s="180" t="s">
        <v>876</v>
      </c>
      <c r="K77" s="170" t="s">
        <v>457</v>
      </c>
      <c r="L77" s="170" t="s">
        <v>323</v>
      </c>
      <c r="M77" s="170" t="s">
        <v>31</v>
      </c>
      <c r="N77" s="170" t="s">
        <v>82</v>
      </c>
      <c r="O77" s="170" t="s">
        <v>35</v>
      </c>
      <c r="P77" s="171"/>
      <c r="Q77" s="170" t="s">
        <v>121</v>
      </c>
      <c r="R77" s="181"/>
      <c r="S77" s="182"/>
      <c r="T77" s="184">
        <v>5960000.0</v>
      </c>
      <c r="U77" s="183"/>
      <c r="V77" s="185"/>
      <c r="W77" s="96" t="str">
        <f t="shared" si="125"/>
        <v/>
      </c>
      <c r="X77" s="98">
        <f t="shared" si="126"/>
        <v>5960000</v>
      </c>
      <c r="Y77" s="99" t="str">
        <f t="shared" si="127"/>
        <v>$4M - $6M</v>
      </c>
      <c r="Z77" s="170" t="s">
        <v>86</v>
      </c>
      <c r="AA77" s="170" t="s">
        <v>87</v>
      </c>
      <c r="AB77" s="170" t="s">
        <v>88</v>
      </c>
      <c r="AC77" s="170" t="s">
        <v>469</v>
      </c>
      <c r="AD77" s="170" t="s">
        <v>39</v>
      </c>
      <c r="AE77" s="170" t="s">
        <v>39</v>
      </c>
      <c r="AF77" s="170" t="s">
        <v>493</v>
      </c>
      <c r="AG77" s="184">
        <v>8.911821504E9</v>
      </c>
      <c r="AH77" s="97" t="str">
        <f t="shared" si="128"/>
        <v>$5B-$10B</v>
      </c>
      <c r="AI77" s="184">
        <v>8.788451772E9</v>
      </c>
      <c r="AJ77" s="97" t="str">
        <f t="shared" si="129"/>
        <v>$5B-$10B</v>
      </c>
      <c r="AK77" s="186">
        <v>0.042</v>
      </c>
      <c r="AL77" s="88" t="str">
        <f t="shared" si="130"/>
        <v>0%-10%</v>
      </c>
      <c r="AM77" s="169">
        <v>100.0</v>
      </c>
      <c r="AN77" s="170" t="s">
        <v>39</v>
      </c>
      <c r="AO77" s="170" t="s">
        <v>89</v>
      </c>
      <c r="AP77" s="170" t="s">
        <v>90</v>
      </c>
      <c r="AQ77" s="100" t="s">
        <v>39</v>
      </c>
      <c r="AR77" s="100" t="s">
        <v>39</v>
      </c>
      <c r="AS77" s="170" t="s">
        <v>493</v>
      </c>
      <c r="AT77" s="170" t="s">
        <v>493</v>
      </c>
      <c r="AU77" s="170" t="s">
        <v>493</v>
      </c>
      <c r="AV77" s="170" t="s">
        <v>469</v>
      </c>
      <c r="AW77" s="184">
        <v>0.0</v>
      </c>
      <c r="AX77" s="96" t="str">
        <f t="shared" si="131"/>
        <v>&lt; $10K</v>
      </c>
      <c r="AY77" s="184">
        <v>4567.0</v>
      </c>
      <c r="AZ77" s="184">
        <v>500000.0</v>
      </c>
      <c r="BA77" s="103" t="str">
        <f t="shared" si="132"/>
        <v>$100K - $500K</v>
      </c>
      <c r="BB77" s="103">
        <f t="shared" si="133"/>
        <v>0.009134</v>
      </c>
      <c r="BC77" s="103" t="str">
        <f t="shared" si="134"/>
        <v>&lt; 10%</v>
      </c>
      <c r="BD77" s="170" t="s">
        <v>91</v>
      </c>
      <c r="BE77" s="171"/>
      <c r="BF77" s="170" t="s">
        <v>493</v>
      </c>
      <c r="BG77" s="170">
        <v>3.0</v>
      </c>
      <c r="BH77" s="169">
        <v>1.0</v>
      </c>
      <c r="BI77" s="90" t="s">
        <v>469</v>
      </c>
      <c r="BJ77" s="170" t="s">
        <v>469</v>
      </c>
      <c r="BK77" s="170" t="s">
        <v>493</v>
      </c>
      <c r="BL77" s="170" t="s">
        <v>469</v>
      </c>
      <c r="BM77" s="169">
        <v>2.0</v>
      </c>
      <c r="BN77" s="169">
        <v>5.0</v>
      </c>
      <c r="BO77" s="169">
        <v>1.0</v>
      </c>
      <c r="BP77" s="169">
        <v>1.0</v>
      </c>
      <c r="BQ77" s="108"/>
      <c r="BR77" s="15">
        <v>0.0</v>
      </c>
      <c r="BS77" s="15">
        <v>0.0</v>
      </c>
      <c r="BT77" s="15">
        <v>0.0</v>
      </c>
      <c r="BU77" s="15">
        <v>42.0</v>
      </c>
      <c r="BV77" s="15" t="s">
        <v>469</v>
      </c>
      <c r="BW77" s="108"/>
      <c r="CC77" s="108"/>
      <c r="CI77" s="108"/>
      <c r="CO77" s="108"/>
      <c r="CU77" s="108"/>
      <c r="DA77" s="108"/>
      <c r="DG77" s="108"/>
      <c r="DM77" s="108"/>
      <c r="DS77" s="108"/>
      <c r="DT77" s="108"/>
      <c r="DU77" s="108"/>
      <c r="DW77" s="109"/>
      <c r="DX77" s="110">
        <f t="shared" si="13"/>
        <v>0</v>
      </c>
      <c r="DY77" s="111">
        <f t="shared" ref="DY77:DZ77" si="213">sum(BS77,BY77,CE77,CK77,CQ77,CW77,DC77,DI77,DO77)</f>
        <v>0</v>
      </c>
      <c r="DZ77" s="111">
        <f t="shared" si="213"/>
        <v>0</v>
      </c>
      <c r="EA77" s="110">
        <f t="shared" si="15"/>
        <v>42</v>
      </c>
      <c r="EB77" s="99" t="str">
        <f t="shared" si="16"/>
        <v>35 - 54</v>
      </c>
      <c r="EC77" s="112"/>
      <c r="ED77" s="113">
        <f t="shared" si="17"/>
        <v>4.4</v>
      </c>
      <c r="EE77" s="114" t="str">
        <f>IF(V77 &lt;&gt; "", 1+((V77-MIN(discount_rates))*(4)/(MAX(discount_rates) - MIN(discount_rates))), "")</f>
        <v/>
      </c>
      <c r="EF77" s="114" t="str">
        <f>IF(Q77="Debt", (1+((S77-MIN(interest_rates))*(4)/(MAX(interest_rates) - MIN(interest_rates)))), "")</f>
        <v/>
      </c>
      <c r="EG77" s="114" t="str">
        <f>IF(OR(Q77="Revenue Share", Q77="Profit Share"), (1+((R77-MIN(return_mutiples))*(4)/(MAX(return_mutiples) - MIN(return_mutiples)))), "")</f>
        <v/>
      </c>
      <c r="EH77" s="115">
        <f t="shared" si="18"/>
        <v>4.4</v>
      </c>
      <c r="EI77" s="116" t="str">
        <f t="shared" si="19"/>
        <v>Equity - Common</v>
      </c>
      <c r="EJ77" s="117">
        <f t="shared" si="20"/>
        <v>0.3287671233</v>
      </c>
      <c r="EK77" s="116" t="str">
        <f t="shared" si="21"/>
        <v>Early</v>
      </c>
      <c r="EL77" s="112"/>
      <c r="EM77" s="118">
        <f t="shared" si="22"/>
        <v>3</v>
      </c>
      <c r="EN77" s="118">
        <f t="shared" si="23"/>
        <v>1.7</v>
      </c>
      <c r="EO77" s="119">
        <f t="shared" si="24"/>
        <v>4.7</v>
      </c>
      <c r="EP77" s="115">
        <f>1+((EO77-MIN(market_ratings_sums))*(4)/(MAX(market_ratings_sums) - MIN(market_ratings_sums)))</f>
        <v>2.403508772</v>
      </c>
      <c r="EQ77" s="116" t="str">
        <f t="shared" si="25"/>
        <v>Yes</v>
      </c>
      <c r="ER77" s="112"/>
      <c r="ES77" s="123">
        <f>1+((DX77-MIN(industry_experiences))*(4)/(MAX(industry_experiences) - MIN(industry_experiences)))</f>
        <v>1</v>
      </c>
      <c r="ET77" s="123">
        <f>1+((DY77-MIN(previous_startups))*(4)/(MAX(previous_startups) - MIN(previous_startups)))</f>
        <v>1</v>
      </c>
      <c r="EU77" s="123">
        <f>1+((DZ77-MIN(exits))*(4)/(MAX(exits) - MIN(exits)))</f>
        <v>1</v>
      </c>
      <c r="EV77" s="119">
        <f t="shared" si="26"/>
        <v>3</v>
      </c>
      <c r="EW77" s="124">
        <f>1+((EV77-MIN(team_ratings_sums))*(4)/(MAX(team_ratings_sums) - MIN(team_ratings_sums)))</f>
        <v>1</v>
      </c>
      <c r="EX77" s="116" t="str">
        <f t="shared" si="27"/>
        <v>35 - 54</v>
      </c>
      <c r="EY77" s="125">
        <f t="shared" si="28"/>
        <v>0.6849315068</v>
      </c>
      <c r="EZ77" s="116">
        <f t="shared" si="29"/>
        <v>1</v>
      </c>
      <c r="FA77" s="125">
        <f t="shared" si="30"/>
        <v>0.4383561644</v>
      </c>
      <c r="FB77" s="116">
        <f t="shared" si="31"/>
        <v>5</v>
      </c>
      <c r="FC77" s="125">
        <f t="shared" si="32"/>
        <v>0.1369863014</v>
      </c>
      <c r="FD77" s="116" t="str">
        <f t="shared" si="33"/>
        <v>No</v>
      </c>
      <c r="FE77" s="125">
        <f t="shared" si="34"/>
        <v>0.7534246575</v>
      </c>
      <c r="FF77" s="116" t="str">
        <f t="shared" ref="FF77:FH77" si="214">BJ77</f>
        <v>No</v>
      </c>
      <c r="FG77" s="116" t="str">
        <f t="shared" si="214"/>
        <v>Yes</v>
      </c>
      <c r="FH77" s="116" t="str">
        <f t="shared" si="214"/>
        <v>No</v>
      </c>
      <c r="FI77" s="112"/>
      <c r="FJ77" s="116" t="str">
        <f t="shared" si="36"/>
        <v>Recurring</v>
      </c>
      <c r="FK77" s="125">
        <f t="shared" si="37"/>
        <v>0.397260274</v>
      </c>
      <c r="FL77" s="116" t="str">
        <f t="shared" si="38"/>
        <v>B2C</v>
      </c>
      <c r="FM77" s="125">
        <f t="shared" si="39"/>
        <v>0.397260274</v>
      </c>
      <c r="FN77" s="116" t="str">
        <f t="shared" si="40"/>
        <v>High</v>
      </c>
      <c r="FO77" s="125">
        <f t="shared" si="41"/>
        <v>0.5616438356</v>
      </c>
      <c r="FP77" s="116" t="str">
        <f t="shared" si="42"/>
        <v>High</v>
      </c>
      <c r="FQ77" s="125">
        <f t="shared" si="43"/>
        <v>0.6438356164</v>
      </c>
      <c r="FR77" s="112"/>
      <c r="FS77" s="123">
        <f t="shared" si="44"/>
        <v>3</v>
      </c>
      <c r="FT77" s="123">
        <f t="shared" si="45"/>
        <v>1</v>
      </c>
      <c r="FU77" s="123">
        <f t="shared" si="46"/>
        <v>5</v>
      </c>
      <c r="FV77" s="123">
        <f t="shared" si="47"/>
        <v>3.7</v>
      </c>
      <c r="FW77" s="119">
        <f t="shared" si="48"/>
        <v>12.7</v>
      </c>
      <c r="FX77" s="115">
        <f>1+((FW77-MIN(performance_ratings_sums))*(4)/(MAX(performance_ratings_sums) - MIN(performance_ratings_sums)))</f>
        <v>3.242990654</v>
      </c>
      <c r="FY77" s="116" t="str">
        <f t="shared" si="49"/>
        <v>Pre-Revenue</v>
      </c>
      <c r="FZ77" s="126">
        <f t="shared" si="50"/>
        <v>0.2054794521</v>
      </c>
      <c r="GA77" s="112"/>
      <c r="GB77" s="127">
        <f t="shared" si="51"/>
        <v>3</v>
      </c>
      <c r="GC77" s="116" t="str">
        <f t="shared" si="52"/>
        <v>Yes</v>
      </c>
      <c r="GD77" s="126">
        <f t="shared" si="53"/>
        <v>0.2328767123</v>
      </c>
      <c r="GE77" s="126" t="str">
        <f t="shared" si="54"/>
        <v>High</v>
      </c>
      <c r="GF77" s="126">
        <f t="shared" si="55"/>
        <v>0.4520547945</v>
      </c>
      <c r="GG77" s="126" t="str">
        <f t="shared" si="56"/>
        <v>High</v>
      </c>
      <c r="GH77" s="126">
        <f t="shared" si="57"/>
        <v>0.8082191781</v>
      </c>
      <c r="GI77" s="112"/>
      <c r="GJ77" s="116"/>
      <c r="GK77" s="119">
        <f t="shared" si="58"/>
        <v>14.04649943</v>
      </c>
      <c r="GL77" s="128">
        <f>1+((GK77-MIN(ratings_sums))*(4)/(MAX(ratings_sums) - MIN(ratings_sums)))</f>
        <v>3.102623628</v>
      </c>
    </row>
    <row r="78" ht="15.75" customHeight="1">
      <c r="A78" s="176" t="s">
        <v>702</v>
      </c>
      <c r="B78" s="169">
        <v>1789108.0</v>
      </c>
      <c r="C78" s="177" t="s">
        <v>880</v>
      </c>
      <c r="D78" s="178">
        <v>43811.45486111111</v>
      </c>
      <c r="E78" s="170" t="s">
        <v>392</v>
      </c>
      <c r="F78" s="150" t="s">
        <v>881</v>
      </c>
      <c r="G78" s="150" t="s">
        <v>882</v>
      </c>
      <c r="H78" s="190">
        <v>43795.0</v>
      </c>
      <c r="I78" s="180" t="s">
        <v>883</v>
      </c>
      <c r="J78" s="180" t="s">
        <v>880</v>
      </c>
      <c r="K78" s="170" t="s">
        <v>546</v>
      </c>
      <c r="L78" s="170" t="s">
        <v>362</v>
      </c>
      <c r="M78" s="170" t="s">
        <v>31</v>
      </c>
      <c r="N78" s="170" t="s">
        <v>82</v>
      </c>
      <c r="O78" s="170" t="s">
        <v>35</v>
      </c>
      <c r="P78" s="171"/>
      <c r="Q78" s="170" t="s">
        <v>195</v>
      </c>
      <c r="R78" s="181"/>
      <c r="S78" s="182"/>
      <c r="T78" s="184"/>
      <c r="U78" s="21">
        <v>3000000.0</v>
      </c>
      <c r="V78" s="185">
        <v>0.25</v>
      </c>
      <c r="W78" s="96">
        <f t="shared" si="125"/>
        <v>2250000</v>
      </c>
      <c r="X78" s="98">
        <f t="shared" si="126"/>
        <v>2250000</v>
      </c>
      <c r="Y78" s="99" t="str">
        <f t="shared" si="127"/>
        <v>$2M - $4M</v>
      </c>
      <c r="Z78" s="170" t="s">
        <v>36</v>
      </c>
      <c r="AA78" s="170" t="s">
        <v>37</v>
      </c>
      <c r="AB78" s="170" t="s">
        <v>38</v>
      </c>
      <c r="AC78" s="170" t="s">
        <v>469</v>
      </c>
      <c r="AD78" s="170" t="s">
        <v>39</v>
      </c>
      <c r="AE78" s="170" t="s">
        <v>39</v>
      </c>
      <c r="AF78" s="170" t="s">
        <v>469</v>
      </c>
      <c r="AG78" s="184">
        <v>4.7E10</v>
      </c>
      <c r="AH78" s="97" t="str">
        <f t="shared" si="128"/>
        <v>$25B-$50B</v>
      </c>
      <c r="AI78" s="184">
        <v>2.29265424E9</v>
      </c>
      <c r="AJ78" s="97" t="str">
        <f t="shared" si="129"/>
        <v>$1B-$5B</v>
      </c>
      <c r="AK78" s="186">
        <v>0.068</v>
      </c>
      <c r="AL78" s="88" t="str">
        <f t="shared" si="130"/>
        <v>0%-10%</v>
      </c>
      <c r="AM78" s="169">
        <v>5.0</v>
      </c>
      <c r="AN78" s="170" t="s">
        <v>89</v>
      </c>
      <c r="AO78" s="170" t="s">
        <v>39</v>
      </c>
      <c r="AP78" s="170" t="s">
        <v>40</v>
      </c>
      <c r="AQ78" s="100" t="s">
        <v>39</v>
      </c>
      <c r="AR78" s="100" t="s">
        <v>89</v>
      </c>
      <c r="AS78" s="170" t="s">
        <v>469</v>
      </c>
      <c r="AT78" s="170" t="s">
        <v>493</v>
      </c>
      <c r="AU78" s="170" t="s">
        <v>493</v>
      </c>
      <c r="AV78" s="170" t="s">
        <v>469</v>
      </c>
      <c r="AW78" s="184">
        <v>0.0</v>
      </c>
      <c r="AX78" s="96" t="str">
        <f t="shared" si="131"/>
        <v>&lt; $10K</v>
      </c>
      <c r="AY78" s="184">
        <v>2021.0</v>
      </c>
      <c r="AZ78" s="184">
        <v>10020.0</v>
      </c>
      <c r="BA78" s="103" t="str">
        <f t="shared" si="132"/>
        <v>$10K - $50K</v>
      </c>
      <c r="BB78" s="103">
        <f t="shared" si="133"/>
        <v>0.2016966068</v>
      </c>
      <c r="BC78" s="103" t="str">
        <f t="shared" si="134"/>
        <v>20% - 30%</v>
      </c>
      <c r="BD78" s="170" t="s">
        <v>41</v>
      </c>
      <c r="BE78" s="171"/>
      <c r="BF78" s="170" t="s">
        <v>493</v>
      </c>
      <c r="BG78" s="169">
        <v>2.0</v>
      </c>
      <c r="BH78" s="169">
        <v>1.0</v>
      </c>
      <c r="BI78" s="90" t="s">
        <v>469</v>
      </c>
      <c r="BJ78" s="170" t="s">
        <v>469</v>
      </c>
      <c r="BK78" s="170" t="s">
        <v>469</v>
      </c>
      <c r="BL78" s="170" t="s">
        <v>469</v>
      </c>
      <c r="BM78" s="169">
        <v>2.0</v>
      </c>
      <c r="BN78" s="169">
        <v>4.0</v>
      </c>
      <c r="BO78" s="169">
        <v>1.0</v>
      </c>
      <c r="BP78" s="169">
        <v>1.0</v>
      </c>
      <c r="BQ78" s="108"/>
      <c r="BR78" s="15">
        <v>12.0</v>
      </c>
      <c r="BS78" s="15">
        <v>0.0</v>
      </c>
      <c r="BT78" s="15">
        <v>0.0</v>
      </c>
      <c r="BU78" s="15">
        <v>50.0</v>
      </c>
      <c r="BV78" s="15" t="s">
        <v>493</v>
      </c>
      <c r="BW78" s="108"/>
      <c r="CC78" s="108"/>
      <c r="CI78" s="108"/>
      <c r="CO78" s="108"/>
      <c r="CU78" s="108"/>
      <c r="DA78" s="108"/>
      <c r="DG78" s="108"/>
      <c r="DM78" s="108"/>
      <c r="DS78" s="108"/>
      <c r="DT78" s="108"/>
      <c r="DU78" s="108"/>
      <c r="DW78" s="109"/>
      <c r="DX78" s="110">
        <f t="shared" si="13"/>
        <v>12</v>
      </c>
      <c r="DY78" s="111">
        <f t="shared" ref="DY78:DZ78" si="215">sum(BS78,BY78,CE78,CK78,CQ78,CW78,DC78,DI78,DO78)</f>
        <v>0</v>
      </c>
      <c r="DZ78" s="111">
        <f t="shared" si="215"/>
        <v>0</v>
      </c>
      <c r="EA78" s="110">
        <f t="shared" si="15"/>
        <v>50</v>
      </c>
      <c r="EB78" s="99" t="str">
        <f t="shared" si="16"/>
        <v>35 - 54</v>
      </c>
      <c r="EC78" s="112"/>
      <c r="ED78" s="113">
        <f t="shared" si="17"/>
        <v>4.6</v>
      </c>
      <c r="EE78" s="114">
        <f>IF(V78 &lt;&gt; "", 1+((V78-MIN(discount_rates))*(4)/(MAX(discount_rates) - MIN(discount_rates))), "")</f>
        <v>3.631578947</v>
      </c>
      <c r="EF78" s="114" t="str">
        <f>IF(Q78="Debt", (1+((S78-MIN(interest_rates))*(4)/(MAX(interest_rates) - MIN(interest_rates)))), "")</f>
        <v/>
      </c>
      <c r="EG78" s="114" t="str">
        <f>IF(OR(Q78="Revenue Share", Q78="Profit Share"), (1+((R78-MIN(return_mutiples))*(4)/(MAX(return_mutiples) - MIN(return_mutiples)))), "")</f>
        <v/>
      </c>
      <c r="EH78" s="115">
        <f t="shared" si="18"/>
        <v>4.6</v>
      </c>
      <c r="EI78" s="116" t="str">
        <f t="shared" si="19"/>
        <v>SAFE</v>
      </c>
      <c r="EJ78" s="117">
        <f t="shared" si="20"/>
        <v>0.3561643836</v>
      </c>
      <c r="EK78" s="116" t="str">
        <f t="shared" si="21"/>
        <v>Early</v>
      </c>
      <c r="EL78" s="112"/>
      <c r="EM78" s="118">
        <f t="shared" si="22"/>
        <v>2.7</v>
      </c>
      <c r="EN78" s="118">
        <f t="shared" si="23"/>
        <v>1.7</v>
      </c>
      <c r="EO78" s="119">
        <f t="shared" si="24"/>
        <v>4.4</v>
      </c>
      <c r="EP78" s="115">
        <f>1+((EO78-MIN(market_ratings_sums))*(4)/(MAX(market_ratings_sums) - MIN(market_ratings_sums)))</f>
        <v>2.192982456</v>
      </c>
      <c r="EQ78" s="116" t="str">
        <f t="shared" si="25"/>
        <v>No</v>
      </c>
      <c r="ER78" s="112"/>
      <c r="ES78" s="123">
        <f>1+((DX78-MIN(industry_experiences))*(4)/(MAX(industry_experiences) - MIN(industry_experiences)))</f>
        <v>2.142857143</v>
      </c>
      <c r="ET78" s="123">
        <f>1+((DY78-MIN(previous_startups))*(4)/(MAX(previous_startups) - MIN(previous_startups)))</f>
        <v>1</v>
      </c>
      <c r="EU78" s="123">
        <f>1+((DZ78-MIN(exits))*(4)/(MAX(exits) - MIN(exits)))</f>
        <v>1</v>
      </c>
      <c r="EV78" s="119">
        <f t="shared" si="26"/>
        <v>4.142857143</v>
      </c>
      <c r="EW78" s="124">
        <f>1+((EV78-MIN(team_ratings_sums))*(4)/(MAX(team_ratings_sums) - MIN(team_ratings_sums)))</f>
        <v>1.626086957</v>
      </c>
      <c r="EX78" s="116" t="str">
        <f t="shared" si="27"/>
        <v>35 - 54</v>
      </c>
      <c r="EY78" s="125">
        <f t="shared" si="28"/>
        <v>0.6849315068</v>
      </c>
      <c r="EZ78" s="116">
        <f t="shared" si="29"/>
        <v>1</v>
      </c>
      <c r="FA78" s="125">
        <f t="shared" si="30"/>
        <v>0.4383561644</v>
      </c>
      <c r="FB78" s="116">
        <f t="shared" si="31"/>
        <v>4</v>
      </c>
      <c r="FC78" s="125">
        <f t="shared" si="32"/>
        <v>0.1369863014</v>
      </c>
      <c r="FD78" s="116" t="str">
        <f t="shared" si="33"/>
        <v>No</v>
      </c>
      <c r="FE78" s="125">
        <f t="shared" si="34"/>
        <v>0.7534246575</v>
      </c>
      <c r="FF78" s="116" t="str">
        <f t="shared" ref="FF78:FH78" si="216">BJ78</f>
        <v>No</v>
      </c>
      <c r="FG78" s="116" t="str">
        <f t="shared" si="216"/>
        <v>No</v>
      </c>
      <c r="FH78" s="116" t="str">
        <f t="shared" si="216"/>
        <v>No</v>
      </c>
      <c r="FI78" s="112"/>
      <c r="FJ78" s="116" t="str">
        <f t="shared" si="36"/>
        <v>Transactional</v>
      </c>
      <c r="FK78" s="125">
        <f t="shared" si="37"/>
        <v>0.602739726</v>
      </c>
      <c r="FL78" s="116" t="str">
        <f t="shared" si="38"/>
        <v>B2B</v>
      </c>
      <c r="FM78" s="125">
        <f t="shared" si="39"/>
        <v>0.2465753425</v>
      </c>
      <c r="FN78" s="116" t="str">
        <f t="shared" si="40"/>
        <v>High</v>
      </c>
      <c r="FO78" s="125">
        <f t="shared" si="41"/>
        <v>0.5616438356</v>
      </c>
      <c r="FP78" s="116" t="str">
        <f t="shared" si="42"/>
        <v>High</v>
      </c>
      <c r="FQ78" s="125">
        <f t="shared" si="43"/>
        <v>0.6438356164</v>
      </c>
      <c r="FR78" s="112"/>
      <c r="FS78" s="123">
        <f t="shared" si="44"/>
        <v>3</v>
      </c>
      <c r="FT78" s="123">
        <f t="shared" si="45"/>
        <v>1</v>
      </c>
      <c r="FU78" s="123">
        <f t="shared" si="46"/>
        <v>4.1</v>
      </c>
      <c r="FV78" s="123">
        <f t="shared" si="47"/>
        <v>4.6</v>
      </c>
      <c r="FW78" s="119">
        <f t="shared" si="48"/>
        <v>12.7</v>
      </c>
      <c r="FX78" s="115">
        <f>1+((FW78-MIN(performance_ratings_sums))*(4)/(MAX(performance_ratings_sums) - MIN(performance_ratings_sums)))</f>
        <v>3.242990654</v>
      </c>
      <c r="FY78" s="116" t="str">
        <f t="shared" si="49"/>
        <v>Pre-Product</v>
      </c>
      <c r="FZ78" s="126">
        <f t="shared" si="50"/>
        <v>0.2328767123</v>
      </c>
      <c r="GA78" s="112"/>
      <c r="GB78" s="127">
        <f t="shared" si="51"/>
        <v>3</v>
      </c>
      <c r="GC78" s="116" t="str">
        <f t="shared" si="52"/>
        <v>Yes</v>
      </c>
      <c r="GD78" s="126">
        <f t="shared" si="53"/>
        <v>0.2328767123</v>
      </c>
      <c r="GE78" s="126" t="str">
        <f t="shared" si="54"/>
        <v>High</v>
      </c>
      <c r="GF78" s="126">
        <f t="shared" si="55"/>
        <v>0.4520547945</v>
      </c>
      <c r="GG78" s="126" t="str">
        <f t="shared" si="56"/>
        <v>Low</v>
      </c>
      <c r="GH78" s="126">
        <f t="shared" si="57"/>
        <v>0.1917808219</v>
      </c>
      <c r="GI78" s="112"/>
      <c r="GJ78" s="116"/>
      <c r="GK78" s="119">
        <f t="shared" si="58"/>
        <v>14.66206007</v>
      </c>
      <c r="GL78" s="128">
        <f>1+((GK78-MIN(ratings_sums))*(4)/(MAX(ratings_sums) - MIN(ratings_sums)))</f>
        <v>3.291502234</v>
      </c>
    </row>
    <row r="79" ht="15.75" customHeight="1">
      <c r="A79" s="200" t="s">
        <v>702</v>
      </c>
      <c r="B79" s="191">
        <v>1780122.0</v>
      </c>
      <c r="C79" s="180" t="s">
        <v>884</v>
      </c>
      <c r="D79" s="196">
        <v>43815.45277777778</v>
      </c>
      <c r="E79" s="175" t="s">
        <v>369</v>
      </c>
      <c r="F79" s="192" t="s">
        <v>885</v>
      </c>
      <c r="G79" s="192" t="s">
        <v>886</v>
      </c>
      <c r="H79" s="193">
        <v>43812.0</v>
      </c>
      <c r="I79" s="197" t="s">
        <v>887</v>
      </c>
      <c r="J79" s="197" t="s">
        <v>884</v>
      </c>
      <c r="K79" s="175" t="s">
        <v>322</v>
      </c>
      <c r="L79" s="175" t="s">
        <v>99</v>
      </c>
      <c r="M79" s="175" t="s">
        <v>31</v>
      </c>
      <c r="N79" s="175" t="s">
        <v>82</v>
      </c>
      <c r="O79" s="175" t="s">
        <v>35</v>
      </c>
      <c r="P79" s="171"/>
      <c r="Q79" s="175" t="s">
        <v>195</v>
      </c>
      <c r="R79" s="181"/>
      <c r="S79" s="182"/>
      <c r="T79" s="16"/>
      <c r="U79" s="21">
        <v>1.0E7</v>
      </c>
      <c r="V79" s="198">
        <v>0.15</v>
      </c>
      <c r="W79" s="96">
        <f t="shared" si="125"/>
        <v>8500000</v>
      </c>
      <c r="X79" s="98">
        <f t="shared" si="126"/>
        <v>8500000</v>
      </c>
      <c r="Y79" s="99" t="str">
        <f t="shared" si="127"/>
        <v>$8M - $10M</v>
      </c>
      <c r="Z79" s="175" t="s">
        <v>36</v>
      </c>
      <c r="AA79" s="175" t="s">
        <v>123</v>
      </c>
      <c r="AB79" s="175" t="s">
        <v>88</v>
      </c>
      <c r="AC79" s="175" t="s">
        <v>469</v>
      </c>
      <c r="AD79" s="175" t="s">
        <v>39</v>
      </c>
      <c r="AE79" s="175" t="s">
        <v>39</v>
      </c>
      <c r="AF79" s="170" t="s">
        <v>469</v>
      </c>
      <c r="AG79" s="16">
        <v>1.0520447637E10</v>
      </c>
      <c r="AH79" s="97" t="str">
        <f t="shared" si="128"/>
        <v>$10B-$25B</v>
      </c>
      <c r="AI79" s="16">
        <v>1.0520447637E10</v>
      </c>
      <c r="AJ79" s="97" t="str">
        <f t="shared" si="129"/>
        <v>$10B-$25B</v>
      </c>
      <c r="AK79" s="199">
        <v>0.19</v>
      </c>
      <c r="AL79" s="88" t="str">
        <f t="shared" si="130"/>
        <v>10%-20%</v>
      </c>
      <c r="AM79" s="191">
        <v>35.0</v>
      </c>
      <c r="AN79" s="175" t="s">
        <v>39</v>
      </c>
      <c r="AO79" s="175" t="s">
        <v>89</v>
      </c>
      <c r="AP79" s="175" t="s">
        <v>90</v>
      </c>
      <c r="AQ79" s="143" t="s">
        <v>39</v>
      </c>
      <c r="AR79" s="143" t="s">
        <v>39</v>
      </c>
      <c r="AS79" s="175" t="s">
        <v>469</v>
      </c>
      <c r="AT79" s="175" t="s">
        <v>493</v>
      </c>
      <c r="AU79" s="175" t="s">
        <v>469</v>
      </c>
      <c r="AV79" s="175" t="s">
        <v>469</v>
      </c>
      <c r="AW79" s="16">
        <v>0.0</v>
      </c>
      <c r="AX79" s="96" t="str">
        <f t="shared" si="131"/>
        <v>&lt; $10K</v>
      </c>
      <c r="AY79" s="16">
        <v>0.0</v>
      </c>
      <c r="AZ79" s="21">
        <v>215000.0</v>
      </c>
      <c r="BA79" s="103" t="str">
        <f t="shared" si="132"/>
        <v>$100K - $500K</v>
      </c>
      <c r="BB79" s="103">
        <f t="shared" si="133"/>
        <v>1</v>
      </c>
      <c r="BC79" s="103" t="str">
        <f t="shared" si="134"/>
        <v>90% - 100%</v>
      </c>
      <c r="BD79" s="175" t="s">
        <v>91</v>
      </c>
      <c r="BE79" s="171"/>
      <c r="BF79" s="175" t="s">
        <v>493</v>
      </c>
      <c r="BG79" s="170">
        <v>2.0</v>
      </c>
      <c r="BH79" s="191">
        <v>2.0</v>
      </c>
      <c r="BI79" s="170" t="s">
        <v>493</v>
      </c>
      <c r="BJ79" s="175" t="s">
        <v>469</v>
      </c>
      <c r="BK79" s="175" t="s">
        <v>493</v>
      </c>
      <c r="BL79" s="175" t="s">
        <v>469</v>
      </c>
      <c r="BM79" s="191">
        <v>5.0</v>
      </c>
      <c r="BN79" s="191">
        <v>2.0</v>
      </c>
      <c r="BO79" s="191">
        <v>0.0</v>
      </c>
      <c r="BP79" s="191">
        <v>1.0</v>
      </c>
      <c r="BQ79" s="108"/>
      <c r="BR79" s="15">
        <v>3.0</v>
      </c>
      <c r="BS79" s="15">
        <v>1.0</v>
      </c>
      <c r="BT79" s="15">
        <v>0.0</v>
      </c>
      <c r="BU79" s="15">
        <v>41.0</v>
      </c>
      <c r="BV79" s="15" t="s">
        <v>493</v>
      </c>
      <c r="BW79" s="108"/>
      <c r="BX79" s="15">
        <v>4.0</v>
      </c>
      <c r="BY79" s="15">
        <v>1.0</v>
      </c>
      <c r="BZ79" s="15">
        <v>0.0</v>
      </c>
      <c r="CA79" s="15">
        <v>34.0</v>
      </c>
      <c r="CB79" s="15" t="s">
        <v>469</v>
      </c>
      <c r="CC79" s="108"/>
      <c r="CI79" s="108"/>
      <c r="CO79" s="108"/>
      <c r="CU79" s="108"/>
      <c r="DA79" s="108"/>
      <c r="DG79" s="108"/>
      <c r="DM79" s="108"/>
      <c r="DS79" s="108"/>
      <c r="DT79" s="108"/>
      <c r="DU79" s="108"/>
      <c r="DW79" s="109"/>
      <c r="DX79" s="110">
        <f t="shared" si="13"/>
        <v>3.5</v>
      </c>
      <c r="DY79" s="111">
        <f t="shared" ref="DY79:DZ79" si="217">sum(BS79,BY79,CE79,CK79,CQ79,CW79,DC79,DI79,DO79)</f>
        <v>2</v>
      </c>
      <c r="DZ79" s="111">
        <f t="shared" si="217"/>
        <v>0</v>
      </c>
      <c r="EA79" s="110">
        <f t="shared" si="15"/>
        <v>37.5</v>
      </c>
      <c r="EB79" s="99" t="str">
        <f t="shared" si="16"/>
        <v>35 - 54</v>
      </c>
      <c r="EC79" s="112"/>
      <c r="ED79" s="113">
        <f t="shared" si="17"/>
        <v>4</v>
      </c>
      <c r="EE79" s="114">
        <f>IF(V79 &lt;&gt; "", 1+((V79-MIN(discount_rates))*(4)/(MAX(discount_rates) - MIN(discount_rates))), "")</f>
        <v>2.578947368</v>
      </c>
      <c r="EF79" s="114" t="str">
        <f>IF(Q79="Debt", (1+((S79-MIN(interest_rates))*(4)/(MAX(interest_rates) - MIN(interest_rates)))), "")</f>
        <v/>
      </c>
      <c r="EG79" s="114" t="str">
        <f>IF(OR(Q79="Revenue Share", Q79="Profit Share"), (1+((R79-MIN(return_mutiples))*(4)/(MAX(return_mutiples) - MIN(return_mutiples)))), "")</f>
        <v/>
      </c>
      <c r="EH79" s="115">
        <f t="shared" si="18"/>
        <v>4</v>
      </c>
      <c r="EI79" s="116" t="str">
        <f t="shared" si="19"/>
        <v>SAFE</v>
      </c>
      <c r="EJ79" s="117">
        <f t="shared" si="20"/>
        <v>0.3561643836</v>
      </c>
      <c r="EK79" s="116" t="str">
        <f t="shared" si="21"/>
        <v>Early</v>
      </c>
      <c r="EL79" s="112"/>
      <c r="EM79" s="118">
        <f t="shared" si="22"/>
        <v>3.3</v>
      </c>
      <c r="EN79" s="118">
        <f t="shared" si="23"/>
        <v>2.3</v>
      </c>
      <c r="EO79" s="119">
        <f t="shared" si="24"/>
        <v>5.6</v>
      </c>
      <c r="EP79" s="115">
        <f>1+((EO79-MIN(market_ratings_sums))*(4)/(MAX(market_ratings_sums) - MIN(market_ratings_sums)))</f>
        <v>3.035087719</v>
      </c>
      <c r="EQ79" s="116" t="str">
        <f t="shared" si="25"/>
        <v>No</v>
      </c>
      <c r="ER79" s="112"/>
      <c r="ES79" s="123">
        <f>1+((DX79-MIN(industry_experiences))*(4)/(MAX(industry_experiences) - MIN(industry_experiences)))</f>
        <v>1.333333333</v>
      </c>
      <c r="ET79" s="123">
        <f>1+((DY79-MIN(previous_startups))*(4)/(MAX(previous_startups) - MIN(previous_startups)))</f>
        <v>1.888888889</v>
      </c>
      <c r="EU79" s="123">
        <f>1+((DZ79-MIN(exits))*(4)/(MAX(exits) - MIN(exits)))</f>
        <v>1</v>
      </c>
      <c r="EV79" s="119">
        <f t="shared" si="26"/>
        <v>4.222222222</v>
      </c>
      <c r="EW79" s="124">
        <f>1+((EV79-MIN(team_ratings_sums))*(4)/(MAX(team_ratings_sums) - MIN(team_ratings_sums)))</f>
        <v>1.669565217</v>
      </c>
      <c r="EX79" s="116" t="str">
        <f t="shared" si="27"/>
        <v>35 - 54</v>
      </c>
      <c r="EY79" s="125">
        <f t="shared" si="28"/>
        <v>0.6849315068</v>
      </c>
      <c r="EZ79" s="116">
        <f t="shared" si="29"/>
        <v>2</v>
      </c>
      <c r="FA79" s="125">
        <f t="shared" si="30"/>
        <v>0.4520547945</v>
      </c>
      <c r="FB79" s="116">
        <f t="shared" si="31"/>
        <v>2</v>
      </c>
      <c r="FC79" s="125">
        <f t="shared" si="32"/>
        <v>0.1369863014</v>
      </c>
      <c r="FD79" s="116" t="str">
        <f t="shared" si="33"/>
        <v>Yes</v>
      </c>
      <c r="FE79" s="125">
        <f t="shared" si="34"/>
        <v>0.2465753425</v>
      </c>
      <c r="FF79" s="116" t="str">
        <f t="shared" ref="FF79:FH79" si="218">BJ79</f>
        <v>No</v>
      </c>
      <c r="FG79" s="116" t="str">
        <f t="shared" si="218"/>
        <v>Yes</v>
      </c>
      <c r="FH79" s="116" t="str">
        <f t="shared" si="218"/>
        <v>No</v>
      </c>
      <c r="FI79" s="112"/>
      <c r="FJ79" s="116" t="str">
        <f t="shared" si="36"/>
        <v>Transactional</v>
      </c>
      <c r="FK79" s="125">
        <f t="shared" si="37"/>
        <v>0.602739726</v>
      </c>
      <c r="FL79" s="116" t="str">
        <f t="shared" si="38"/>
        <v>B2B/B2C</v>
      </c>
      <c r="FM79" s="125">
        <f t="shared" si="39"/>
        <v>0.3287671233</v>
      </c>
      <c r="FN79" s="116" t="str">
        <f t="shared" si="40"/>
        <v>High</v>
      </c>
      <c r="FO79" s="125">
        <f t="shared" si="41"/>
        <v>0.5616438356</v>
      </c>
      <c r="FP79" s="116" t="str">
        <f t="shared" si="42"/>
        <v>High</v>
      </c>
      <c r="FQ79" s="125">
        <f t="shared" si="43"/>
        <v>0.6438356164</v>
      </c>
      <c r="FR79" s="112"/>
      <c r="FS79" s="123">
        <f t="shared" si="44"/>
        <v>1</v>
      </c>
      <c r="FT79" s="123">
        <f t="shared" si="45"/>
        <v>1</v>
      </c>
      <c r="FU79" s="123">
        <f t="shared" si="46"/>
        <v>1</v>
      </c>
      <c r="FV79" s="123">
        <f t="shared" si="47"/>
        <v>3.7</v>
      </c>
      <c r="FW79" s="119">
        <f t="shared" si="48"/>
        <v>6.7</v>
      </c>
      <c r="FX79" s="115">
        <f>1+((FW79-MIN(performance_ratings_sums))*(4)/(MAX(performance_ratings_sums) - MIN(performance_ratings_sums)))</f>
        <v>1</v>
      </c>
      <c r="FY79" s="116" t="str">
        <f t="shared" si="49"/>
        <v>Pre-Revenue</v>
      </c>
      <c r="FZ79" s="126">
        <f t="shared" si="50"/>
        <v>0.2054794521</v>
      </c>
      <c r="GA79" s="112"/>
      <c r="GB79" s="127">
        <f t="shared" si="51"/>
        <v>3</v>
      </c>
      <c r="GC79" s="116" t="str">
        <f t="shared" si="52"/>
        <v>Yes</v>
      </c>
      <c r="GD79" s="126">
        <f t="shared" si="53"/>
        <v>0.2328767123</v>
      </c>
      <c r="GE79" s="126" t="str">
        <f t="shared" si="54"/>
        <v>High</v>
      </c>
      <c r="GF79" s="126">
        <f t="shared" si="55"/>
        <v>0.4520547945</v>
      </c>
      <c r="GG79" s="126" t="str">
        <f t="shared" si="56"/>
        <v>High</v>
      </c>
      <c r="GH79" s="126">
        <f t="shared" si="57"/>
        <v>0.8082191781</v>
      </c>
      <c r="GI79" s="112"/>
      <c r="GJ79" s="116"/>
      <c r="GK79" s="119">
        <f t="shared" si="58"/>
        <v>12.70465294</v>
      </c>
      <c r="GL79" s="128">
        <f>1+((GK79-MIN(ratings_sums))*(4)/(MAX(ratings_sums) - MIN(ratings_sums)))</f>
        <v>2.690891494</v>
      </c>
    </row>
    <row r="80" ht="15.75" customHeight="1">
      <c r="A80" s="200" t="s">
        <v>702</v>
      </c>
      <c r="B80" s="191">
        <v>1799231.0</v>
      </c>
      <c r="C80" s="180" t="s">
        <v>888</v>
      </c>
      <c r="D80" s="196">
        <v>43885.433333333334</v>
      </c>
      <c r="E80" s="175" t="s">
        <v>198</v>
      </c>
      <c r="F80" s="192" t="s">
        <v>889</v>
      </c>
      <c r="G80" s="192" t="s">
        <v>890</v>
      </c>
      <c r="H80" s="193">
        <v>43853.0</v>
      </c>
      <c r="I80" s="197" t="s">
        <v>891</v>
      </c>
      <c r="J80" s="197" t="s">
        <v>888</v>
      </c>
      <c r="K80" s="175" t="s">
        <v>354</v>
      </c>
      <c r="L80" s="175" t="s">
        <v>379</v>
      </c>
      <c r="M80" s="175" t="s">
        <v>31</v>
      </c>
      <c r="N80" s="175" t="s">
        <v>82</v>
      </c>
      <c r="O80" s="175" t="s">
        <v>35</v>
      </c>
      <c r="P80" s="171"/>
      <c r="Q80" s="175" t="s">
        <v>121</v>
      </c>
      <c r="R80" s="181"/>
      <c r="S80" s="182"/>
      <c r="T80" s="16">
        <v>3062500.0</v>
      </c>
      <c r="U80" s="183"/>
      <c r="V80" s="198"/>
      <c r="W80" s="96" t="str">
        <f t="shared" si="125"/>
        <v/>
      </c>
      <c r="X80" s="98">
        <f t="shared" si="126"/>
        <v>3062500</v>
      </c>
      <c r="Y80" s="99" t="str">
        <f t="shared" si="127"/>
        <v>$2M - $4M</v>
      </c>
      <c r="Z80" s="175" t="s">
        <v>36</v>
      </c>
      <c r="AA80" s="175" t="s">
        <v>123</v>
      </c>
      <c r="AB80" s="175" t="s">
        <v>88</v>
      </c>
      <c r="AC80" s="175" t="s">
        <v>493</v>
      </c>
      <c r="AD80" s="175" t="s">
        <v>89</v>
      </c>
      <c r="AE80" s="175" t="s">
        <v>39</v>
      </c>
      <c r="AF80" s="170" t="s">
        <v>469</v>
      </c>
      <c r="AG80" s="16">
        <v>2.17565E10</v>
      </c>
      <c r="AH80" s="97" t="str">
        <f t="shared" si="128"/>
        <v>$10B-$25B</v>
      </c>
      <c r="AI80" s="16">
        <v>2.17565E10</v>
      </c>
      <c r="AJ80" s="97" t="str">
        <f t="shared" si="129"/>
        <v>$10B-$25B</v>
      </c>
      <c r="AK80" s="199">
        <v>0.707</v>
      </c>
      <c r="AL80" s="88" t="str">
        <f t="shared" si="130"/>
        <v>&gt; 50%</v>
      </c>
      <c r="AM80" s="191">
        <v>100.0</v>
      </c>
      <c r="AN80" s="175" t="s">
        <v>89</v>
      </c>
      <c r="AO80" s="175" t="s">
        <v>89</v>
      </c>
      <c r="AP80" s="175" t="s">
        <v>40</v>
      </c>
      <c r="AQ80" s="143" t="s">
        <v>89</v>
      </c>
      <c r="AR80" s="143" t="s">
        <v>39</v>
      </c>
      <c r="AS80" s="175" t="s">
        <v>469</v>
      </c>
      <c r="AT80" s="175" t="s">
        <v>469</v>
      </c>
      <c r="AU80" s="175" t="s">
        <v>469</v>
      </c>
      <c r="AV80" s="175" t="s">
        <v>469</v>
      </c>
      <c r="AW80" s="16">
        <v>0.0</v>
      </c>
      <c r="AX80" s="96" t="str">
        <f t="shared" si="131"/>
        <v>&lt; $10K</v>
      </c>
      <c r="AY80" s="16">
        <v>0.0</v>
      </c>
      <c r="AZ80" s="16">
        <v>0.0</v>
      </c>
      <c r="BA80" s="103" t="str">
        <f t="shared" si="132"/>
        <v>&lt; $10K</v>
      </c>
      <c r="BB80" s="103">
        <f t="shared" si="133"/>
        <v>1</v>
      </c>
      <c r="BC80" s="103" t="str">
        <f t="shared" si="134"/>
        <v>90% - 100%</v>
      </c>
      <c r="BD80" s="175" t="s">
        <v>41</v>
      </c>
      <c r="BE80" s="171"/>
      <c r="BF80" s="175" t="s">
        <v>469</v>
      </c>
      <c r="BG80" s="191">
        <v>0.0</v>
      </c>
      <c r="BH80" s="191">
        <v>1.0</v>
      </c>
      <c r="BI80" s="90" t="s">
        <v>469</v>
      </c>
      <c r="BJ80" s="175" t="s">
        <v>469</v>
      </c>
      <c r="BK80" s="175" t="s">
        <v>469</v>
      </c>
      <c r="BL80" s="175" t="s">
        <v>469</v>
      </c>
      <c r="BM80" s="170">
        <v>0.0</v>
      </c>
      <c r="BN80" s="191">
        <v>1.0</v>
      </c>
      <c r="BO80" s="191">
        <v>1.0</v>
      </c>
      <c r="BP80" s="191">
        <v>0.0</v>
      </c>
      <c r="BQ80" s="108"/>
      <c r="BR80" s="15">
        <v>4.0</v>
      </c>
      <c r="BS80" s="15">
        <v>0.0</v>
      </c>
      <c r="BT80" s="15">
        <v>0.0</v>
      </c>
      <c r="BU80" s="15">
        <v>49.0</v>
      </c>
      <c r="BV80" s="15" t="s">
        <v>469</v>
      </c>
      <c r="BW80" s="108"/>
      <c r="CC80" s="108"/>
      <c r="CI80" s="108"/>
      <c r="CO80" s="108"/>
      <c r="CU80" s="108"/>
      <c r="DA80" s="108"/>
      <c r="DG80" s="108"/>
      <c r="DM80" s="108"/>
      <c r="DS80" s="108"/>
      <c r="DT80" s="108"/>
      <c r="DU80" s="108"/>
      <c r="DW80" s="109"/>
      <c r="DX80" s="110">
        <f t="shared" si="13"/>
        <v>4</v>
      </c>
      <c r="DY80" s="111">
        <f t="shared" ref="DY80:DZ80" si="219">sum(BS80,BY80,CE80,CK80,CQ80,CW80,DC80,DI80,DO80)</f>
        <v>0</v>
      </c>
      <c r="DZ80" s="111">
        <f t="shared" si="219"/>
        <v>0</v>
      </c>
      <c r="EA80" s="110">
        <f t="shared" si="15"/>
        <v>49</v>
      </c>
      <c r="EB80" s="99" t="str">
        <f t="shared" si="16"/>
        <v>35 - 54</v>
      </c>
      <c r="EC80" s="112"/>
      <c r="ED80" s="113">
        <f t="shared" si="17"/>
        <v>4.6</v>
      </c>
      <c r="EE80" s="114" t="str">
        <f>IF(V80 &lt;&gt; "", 1+((V80-MIN(discount_rates))*(4)/(MAX(discount_rates) - MIN(discount_rates))), "")</f>
        <v/>
      </c>
      <c r="EF80" s="114" t="str">
        <f>IF(Q80="Debt", (1+((S80-MIN(interest_rates))*(4)/(MAX(interest_rates) - MIN(interest_rates)))), "")</f>
        <v/>
      </c>
      <c r="EG80" s="114" t="str">
        <f>IF(OR(Q80="Revenue Share", Q80="Profit Share"), (1+((R80-MIN(return_mutiples))*(4)/(MAX(return_mutiples) - MIN(return_mutiples)))), "")</f>
        <v/>
      </c>
      <c r="EH80" s="115">
        <f t="shared" si="18"/>
        <v>4.6</v>
      </c>
      <c r="EI80" s="116" t="str">
        <f t="shared" si="19"/>
        <v>Equity - Common</v>
      </c>
      <c r="EJ80" s="117">
        <f t="shared" si="20"/>
        <v>0.3287671233</v>
      </c>
      <c r="EK80" s="116" t="str">
        <f t="shared" si="21"/>
        <v>Early</v>
      </c>
      <c r="EL80" s="112"/>
      <c r="EM80" s="118">
        <f t="shared" si="22"/>
        <v>3.3</v>
      </c>
      <c r="EN80" s="118">
        <f t="shared" si="23"/>
        <v>5</v>
      </c>
      <c r="EO80" s="119">
        <f t="shared" si="24"/>
        <v>8.3</v>
      </c>
      <c r="EP80" s="115">
        <f>1+((EO80-MIN(market_ratings_sums))*(4)/(MAX(market_ratings_sums) - MIN(market_ratings_sums)))</f>
        <v>4.929824561</v>
      </c>
      <c r="EQ80" s="116" t="str">
        <f t="shared" si="25"/>
        <v>No</v>
      </c>
      <c r="ER80" s="112"/>
      <c r="ES80" s="123">
        <f>1+((DX80-MIN(industry_experiences))*(4)/(MAX(industry_experiences) - MIN(industry_experiences)))</f>
        <v>1.380952381</v>
      </c>
      <c r="ET80" s="123">
        <f>1+((DY80-MIN(previous_startups))*(4)/(MAX(previous_startups) - MIN(previous_startups)))</f>
        <v>1</v>
      </c>
      <c r="EU80" s="123">
        <f>1+((DZ80-MIN(exits))*(4)/(MAX(exits) - MIN(exits)))</f>
        <v>1</v>
      </c>
      <c r="EV80" s="119">
        <f t="shared" si="26"/>
        <v>3.380952381</v>
      </c>
      <c r="EW80" s="124">
        <f>1+((EV80-MIN(team_ratings_sums))*(4)/(MAX(team_ratings_sums) - MIN(team_ratings_sums)))</f>
        <v>1.208695652</v>
      </c>
      <c r="EX80" s="116" t="str">
        <f t="shared" si="27"/>
        <v>35 - 54</v>
      </c>
      <c r="EY80" s="125">
        <f t="shared" si="28"/>
        <v>0.6849315068</v>
      </c>
      <c r="EZ80" s="116">
        <f t="shared" si="29"/>
        <v>1</v>
      </c>
      <c r="FA80" s="125">
        <f t="shared" si="30"/>
        <v>0.4383561644</v>
      </c>
      <c r="FB80" s="116">
        <f t="shared" si="31"/>
        <v>1</v>
      </c>
      <c r="FC80" s="125">
        <f t="shared" si="32"/>
        <v>0.08219178082</v>
      </c>
      <c r="FD80" s="116" t="str">
        <f t="shared" si="33"/>
        <v>No</v>
      </c>
      <c r="FE80" s="125">
        <f t="shared" si="34"/>
        <v>0.7534246575</v>
      </c>
      <c r="FF80" s="116" t="str">
        <f t="shared" ref="FF80:FH80" si="220">BJ80</f>
        <v>No</v>
      </c>
      <c r="FG80" s="116" t="str">
        <f t="shared" si="220"/>
        <v>No</v>
      </c>
      <c r="FH80" s="116" t="str">
        <f t="shared" si="220"/>
        <v>No</v>
      </c>
      <c r="FI80" s="112"/>
      <c r="FJ80" s="116" t="str">
        <f t="shared" si="36"/>
        <v>Transactional</v>
      </c>
      <c r="FK80" s="125">
        <f t="shared" si="37"/>
        <v>0.602739726</v>
      </c>
      <c r="FL80" s="116" t="str">
        <f t="shared" si="38"/>
        <v>B2B/B2C</v>
      </c>
      <c r="FM80" s="125">
        <f t="shared" si="39"/>
        <v>0.3287671233</v>
      </c>
      <c r="FN80" s="116" t="str">
        <f t="shared" si="40"/>
        <v>Low</v>
      </c>
      <c r="FO80" s="125">
        <f t="shared" si="41"/>
        <v>0.4383561644</v>
      </c>
      <c r="FP80" s="116" t="str">
        <f t="shared" si="42"/>
        <v>High</v>
      </c>
      <c r="FQ80" s="125">
        <f t="shared" si="43"/>
        <v>0.6438356164</v>
      </c>
      <c r="FR80" s="112"/>
      <c r="FS80" s="123">
        <f t="shared" si="44"/>
        <v>1</v>
      </c>
      <c r="FT80" s="123">
        <f t="shared" si="45"/>
        <v>1</v>
      </c>
      <c r="FU80" s="123">
        <f t="shared" si="46"/>
        <v>1</v>
      </c>
      <c r="FV80" s="123">
        <f t="shared" si="47"/>
        <v>5</v>
      </c>
      <c r="FW80" s="119">
        <f t="shared" si="48"/>
        <v>8</v>
      </c>
      <c r="FX80" s="115">
        <f>1+((FW80-MIN(performance_ratings_sums))*(4)/(MAX(performance_ratings_sums) - MIN(performance_ratings_sums)))</f>
        <v>1.485981308</v>
      </c>
      <c r="FY80" s="116" t="str">
        <f t="shared" si="49"/>
        <v>Pre-Product</v>
      </c>
      <c r="FZ80" s="126">
        <f t="shared" si="50"/>
        <v>0.2328767123</v>
      </c>
      <c r="GA80" s="112"/>
      <c r="GB80" s="127">
        <f t="shared" si="51"/>
        <v>1</v>
      </c>
      <c r="GC80" s="116" t="str">
        <f t="shared" si="52"/>
        <v>No</v>
      </c>
      <c r="GD80" s="126">
        <f t="shared" si="53"/>
        <v>0.7671232877</v>
      </c>
      <c r="GE80" s="126" t="str">
        <f t="shared" si="54"/>
        <v>Low</v>
      </c>
      <c r="GF80" s="126">
        <f t="shared" si="55"/>
        <v>0.5479452055</v>
      </c>
      <c r="GG80" s="126" t="str">
        <f t="shared" si="56"/>
        <v>High</v>
      </c>
      <c r="GH80" s="126">
        <f t="shared" si="57"/>
        <v>0.8082191781</v>
      </c>
      <c r="GI80" s="112"/>
      <c r="GJ80" s="116"/>
      <c r="GK80" s="119">
        <f t="shared" si="58"/>
        <v>13.22450152</v>
      </c>
      <c r="GL80" s="128">
        <f>1+((GK80-MIN(ratings_sums))*(4)/(MAX(ratings_sums) - MIN(ratings_sums)))</f>
        <v>2.850401817</v>
      </c>
    </row>
    <row r="81" ht="15.75" customHeight="1">
      <c r="A81" s="176" t="s">
        <v>702</v>
      </c>
      <c r="B81" s="169">
        <v>1779318.0</v>
      </c>
      <c r="C81" s="177" t="s">
        <v>892</v>
      </c>
      <c r="D81" s="189">
        <v>43885.436111111114</v>
      </c>
      <c r="E81" s="170" t="s">
        <v>369</v>
      </c>
      <c r="F81" s="150" t="s">
        <v>893</v>
      </c>
      <c r="G81" s="150" t="s">
        <v>894</v>
      </c>
      <c r="H81" s="190">
        <v>43882.0</v>
      </c>
      <c r="I81" s="180" t="s">
        <v>895</v>
      </c>
      <c r="J81" s="180" t="s">
        <v>892</v>
      </c>
      <c r="K81" s="170" t="s">
        <v>543</v>
      </c>
      <c r="L81" s="170" t="s">
        <v>349</v>
      </c>
      <c r="M81" s="170" t="s">
        <v>31</v>
      </c>
      <c r="N81" s="170" t="s">
        <v>82</v>
      </c>
      <c r="O81" s="170" t="s">
        <v>35</v>
      </c>
      <c r="P81" s="171"/>
      <c r="Q81" s="170" t="s">
        <v>195</v>
      </c>
      <c r="R81" s="181"/>
      <c r="S81" s="182"/>
      <c r="T81" s="183"/>
      <c r="U81" s="21">
        <v>1.0E7</v>
      </c>
      <c r="V81" s="203">
        <v>0.2</v>
      </c>
      <c r="W81" s="96">
        <f t="shared" si="125"/>
        <v>8000000</v>
      </c>
      <c r="X81" s="98">
        <f t="shared" si="126"/>
        <v>8000000</v>
      </c>
      <c r="Y81" s="99" t="str">
        <f t="shared" si="127"/>
        <v>$6M - $8M</v>
      </c>
      <c r="Z81" s="170" t="s">
        <v>36</v>
      </c>
      <c r="AA81" s="170" t="s">
        <v>123</v>
      </c>
      <c r="AB81" s="170" t="s">
        <v>88</v>
      </c>
      <c r="AC81" s="170" t="s">
        <v>493</v>
      </c>
      <c r="AD81" s="170" t="s">
        <v>89</v>
      </c>
      <c r="AE81" s="170" t="s">
        <v>89</v>
      </c>
      <c r="AF81" s="170" t="s">
        <v>469</v>
      </c>
      <c r="AG81" s="184">
        <v>8.53609882367E11</v>
      </c>
      <c r="AH81" s="97" t="str">
        <f t="shared" si="128"/>
        <v>$500B-$1T</v>
      </c>
      <c r="AI81" s="184">
        <v>2.65E11</v>
      </c>
      <c r="AJ81" s="97" t="str">
        <f t="shared" si="129"/>
        <v>$250B-$500B</v>
      </c>
      <c r="AK81" s="186">
        <v>0.035</v>
      </c>
      <c r="AL81" s="88" t="str">
        <f t="shared" si="130"/>
        <v>0%-10%</v>
      </c>
      <c r="AM81" s="169">
        <v>50.0</v>
      </c>
      <c r="AN81" s="170" t="s">
        <v>39</v>
      </c>
      <c r="AO81" s="170" t="s">
        <v>89</v>
      </c>
      <c r="AP81" s="170" t="s">
        <v>90</v>
      </c>
      <c r="AQ81" s="100" t="s">
        <v>39</v>
      </c>
      <c r="AR81" s="100" t="s">
        <v>39</v>
      </c>
      <c r="AS81" s="170" t="s">
        <v>469</v>
      </c>
      <c r="AT81" s="170" t="s">
        <v>469</v>
      </c>
      <c r="AU81" s="170" t="s">
        <v>493</v>
      </c>
      <c r="AV81" s="170" t="s">
        <v>493</v>
      </c>
      <c r="AW81" s="184">
        <v>41866.0</v>
      </c>
      <c r="AX81" s="96" t="str">
        <f t="shared" si="131"/>
        <v>$10K - $50K</v>
      </c>
      <c r="AY81" s="184">
        <v>4175.0</v>
      </c>
      <c r="AZ81" s="21">
        <v>0.0</v>
      </c>
      <c r="BA81" s="103" t="str">
        <f t="shared" si="132"/>
        <v>&lt; $10K</v>
      </c>
      <c r="BB81" s="103">
        <f t="shared" si="133"/>
        <v>1</v>
      </c>
      <c r="BC81" s="103" t="str">
        <f t="shared" si="134"/>
        <v>90% - 100%</v>
      </c>
      <c r="BD81" s="170" t="s">
        <v>107</v>
      </c>
      <c r="BE81" s="171"/>
      <c r="BF81" s="170" t="s">
        <v>469</v>
      </c>
      <c r="BG81" s="170">
        <v>0.0</v>
      </c>
      <c r="BH81" s="169">
        <v>4.0</v>
      </c>
      <c r="BI81" s="170" t="s">
        <v>493</v>
      </c>
      <c r="BJ81" s="170" t="s">
        <v>469</v>
      </c>
      <c r="BK81" s="170" t="s">
        <v>493</v>
      </c>
      <c r="BL81" s="170" t="s">
        <v>469</v>
      </c>
      <c r="BM81" s="169">
        <v>7.0</v>
      </c>
      <c r="BN81" s="169">
        <v>5.0</v>
      </c>
      <c r="BO81" s="169">
        <v>0.0</v>
      </c>
      <c r="BP81" s="169">
        <v>4.0</v>
      </c>
      <c r="BQ81" s="108"/>
      <c r="BR81" s="15">
        <v>16.0</v>
      </c>
      <c r="BS81" s="15">
        <v>2.0</v>
      </c>
      <c r="BT81" s="15">
        <v>0.0</v>
      </c>
      <c r="BU81" s="15">
        <v>36.0</v>
      </c>
      <c r="BV81" s="15" t="s">
        <v>469</v>
      </c>
      <c r="BW81" s="108"/>
      <c r="BX81" s="15">
        <v>2.0</v>
      </c>
      <c r="BY81" s="15">
        <v>1.0</v>
      </c>
      <c r="BZ81" s="15">
        <v>0.0</v>
      </c>
      <c r="CA81" s="15">
        <v>47.0</v>
      </c>
      <c r="CB81" s="15" t="s">
        <v>469</v>
      </c>
      <c r="CC81" s="108"/>
      <c r="CD81" s="15">
        <v>2.0</v>
      </c>
      <c r="CE81" s="15">
        <v>2.0</v>
      </c>
      <c r="CF81" s="15">
        <v>0.0</v>
      </c>
      <c r="CG81" s="15">
        <v>34.0</v>
      </c>
      <c r="CH81" s="15" t="s">
        <v>469</v>
      </c>
      <c r="CI81" s="108"/>
      <c r="CJ81" s="15">
        <v>4.0</v>
      </c>
      <c r="CK81" s="15">
        <v>0.0</v>
      </c>
      <c r="CL81" s="15">
        <v>0.0</v>
      </c>
      <c r="CM81" s="15">
        <v>40.0</v>
      </c>
      <c r="CN81" s="15" t="s">
        <v>469</v>
      </c>
      <c r="CO81" s="108"/>
      <c r="CU81" s="108"/>
      <c r="DA81" s="108"/>
      <c r="DG81" s="108"/>
      <c r="DM81" s="108"/>
      <c r="DS81" s="108"/>
      <c r="DT81" s="108"/>
      <c r="DU81" s="108"/>
      <c r="DW81" s="109"/>
      <c r="DX81" s="110">
        <f t="shared" si="13"/>
        <v>6</v>
      </c>
      <c r="DY81" s="111">
        <f t="shared" ref="DY81:DZ81" si="221">sum(BS81,BY81,CE81,CK81,CQ81,CW81,DC81,DI81,DO81)</f>
        <v>5</v>
      </c>
      <c r="DZ81" s="111">
        <f t="shared" si="221"/>
        <v>0</v>
      </c>
      <c r="EA81" s="110">
        <f t="shared" si="15"/>
        <v>39.25</v>
      </c>
      <c r="EB81" s="99" t="str">
        <f t="shared" si="16"/>
        <v>35 - 54</v>
      </c>
      <c r="EC81" s="112"/>
      <c r="ED81" s="113">
        <f t="shared" si="17"/>
        <v>4.2</v>
      </c>
      <c r="EE81" s="114">
        <f>IF(V81 &lt;&gt; "", 1+((V81-MIN(discount_rates))*(4)/(MAX(discount_rates) - MIN(discount_rates))), "")</f>
        <v>3.105263158</v>
      </c>
      <c r="EF81" s="114" t="str">
        <f>IF(Q81="Debt", (1+((S81-MIN(interest_rates))*(4)/(MAX(interest_rates) - MIN(interest_rates)))), "")</f>
        <v/>
      </c>
      <c r="EG81" s="114" t="str">
        <f>IF(OR(Q81="Revenue Share", Q81="Profit Share"), (1+((R81-MIN(return_mutiples))*(4)/(MAX(return_mutiples) - MIN(return_mutiples)))), "")</f>
        <v/>
      </c>
      <c r="EH81" s="115">
        <f t="shared" si="18"/>
        <v>4.2</v>
      </c>
      <c r="EI81" s="116" t="str">
        <f t="shared" si="19"/>
        <v>SAFE</v>
      </c>
      <c r="EJ81" s="117">
        <f t="shared" si="20"/>
        <v>0.3561643836</v>
      </c>
      <c r="EK81" s="116" t="str">
        <f t="shared" si="21"/>
        <v>Early</v>
      </c>
      <c r="EL81" s="112"/>
      <c r="EM81" s="118">
        <f t="shared" si="22"/>
        <v>4.4</v>
      </c>
      <c r="EN81" s="118">
        <f t="shared" si="23"/>
        <v>1.7</v>
      </c>
      <c r="EO81" s="119">
        <f t="shared" si="24"/>
        <v>6.1</v>
      </c>
      <c r="EP81" s="115">
        <f>1+((EO81-MIN(market_ratings_sums))*(4)/(MAX(market_ratings_sums) - MIN(market_ratings_sums)))</f>
        <v>3.385964912</v>
      </c>
      <c r="EQ81" s="116" t="str">
        <f t="shared" si="25"/>
        <v>No</v>
      </c>
      <c r="ER81" s="112"/>
      <c r="ES81" s="123">
        <f>1+((DX81-MIN(industry_experiences))*(4)/(MAX(industry_experiences) - MIN(industry_experiences)))</f>
        <v>1.571428571</v>
      </c>
      <c r="ET81" s="123">
        <f>1+((DY81-MIN(previous_startups))*(4)/(MAX(previous_startups) - MIN(previous_startups)))</f>
        <v>3.222222222</v>
      </c>
      <c r="EU81" s="123">
        <f>1+((DZ81-MIN(exits))*(4)/(MAX(exits) - MIN(exits)))</f>
        <v>1</v>
      </c>
      <c r="EV81" s="119">
        <f t="shared" si="26"/>
        <v>5.793650794</v>
      </c>
      <c r="EW81" s="124">
        <f>1+((EV81-MIN(team_ratings_sums))*(4)/(MAX(team_ratings_sums) - MIN(team_ratings_sums)))</f>
        <v>2.530434783</v>
      </c>
      <c r="EX81" s="116" t="str">
        <f t="shared" si="27"/>
        <v>35 - 54</v>
      </c>
      <c r="EY81" s="125">
        <f t="shared" si="28"/>
        <v>0.6849315068</v>
      </c>
      <c r="EZ81" s="116">
        <f t="shared" si="29"/>
        <v>4</v>
      </c>
      <c r="FA81" s="125">
        <f t="shared" si="30"/>
        <v>0.05479452055</v>
      </c>
      <c r="FB81" s="116">
        <f t="shared" si="31"/>
        <v>5</v>
      </c>
      <c r="FC81" s="125">
        <f t="shared" si="32"/>
        <v>0.1369863014</v>
      </c>
      <c r="FD81" s="116" t="str">
        <f t="shared" si="33"/>
        <v>Yes</v>
      </c>
      <c r="FE81" s="125">
        <f t="shared" si="34"/>
        <v>0.2465753425</v>
      </c>
      <c r="FF81" s="116" t="str">
        <f t="shared" ref="FF81:FH81" si="222">BJ81</f>
        <v>No</v>
      </c>
      <c r="FG81" s="116" t="str">
        <f t="shared" si="222"/>
        <v>Yes</v>
      </c>
      <c r="FH81" s="116" t="str">
        <f t="shared" si="222"/>
        <v>No</v>
      </c>
      <c r="FI81" s="112"/>
      <c r="FJ81" s="116" t="str">
        <f t="shared" si="36"/>
        <v>Transactional</v>
      </c>
      <c r="FK81" s="125">
        <f t="shared" si="37"/>
        <v>0.602739726</v>
      </c>
      <c r="FL81" s="116" t="str">
        <f t="shared" si="38"/>
        <v>B2B/B2C</v>
      </c>
      <c r="FM81" s="125">
        <f t="shared" si="39"/>
        <v>0.3287671233</v>
      </c>
      <c r="FN81" s="116" t="str">
        <f t="shared" si="40"/>
        <v>Low</v>
      </c>
      <c r="FO81" s="125">
        <f t="shared" si="41"/>
        <v>0.4383561644</v>
      </c>
      <c r="FP81" s="116" t="str">
        <f t="shared" si="42"/>
        <v>Low</v>
      </c>
      <c r="FQ81" s="125">
        <f t="shared" si="43"/>
        <v>0.3561643836</v>
      </c>
      <c r="FR81" s="112"/>
      <c r="FS81" s="123">
        <f t="shared" si="44"/>
        <v>5</v>
      </c>
      <c r="FT81" s="123">
        <f t="shared" si="45"/>
        <v>1.4</v>
      </c>
      <c r="FU81" s="123">
        <f t="shared" si="46"/>
        <v>1</v>
      </c>
      <c r="FV81" s="123">
        <f t="shared" si="47"/>
        <v>5</v>
      </c>
      <c r="FW81" s="119">
        <f t="shared" si="48"/>
        <v>12.4</v>
      </c>
      <c r="FX81" s="115">
        <f>1+((FW81-MIN(performance_ratings_sums))*(4)/(MAX(performance_ratings_sums) - MIN(performance_ratings_sums)))</f>
        <v>3.130841121</v>
      </c>
      <c r="FY81" s="116" t="str">
        <f t="shared" si="49"/>
        <v>Pre-Profit</v>
      </c>
      <c r="FZ81" s="126">
        <f t="shared" si="50"/>
        <v>0.4931506849</v>
      </c>
      <c r="GA81" s="112"/>
      <c r="GB81" s="127">
        <f t="shared" si="51"/>
        <v>3</v>
      </c>
      <c r="GC81" s="116" t="str">
        <f t="shared" si="52"/>
        <v>No</v>
      </c>
      <c r="GD81" s="126">
        <f t="shared" si="53"/>
        <v>0.7671232877</v>
      </c>
      <c r="GE81" s="126" t="str">
        <f t="shared" si="54"/>
        <v>High</v>
      </c>
      <c r="GF81" s="126">
        <f t="shared" si="55"/>
        <v>0.4520547945</v>
      </c>
      <c r="GG81" s="126" t="str">
        <f t="shared" si="56"/>
        <v>High</v>
      </c>
      <c r="GH81" s="126">
        <f t="shared" si="57"/>
        <v>0.8082191781</v>
      </c>
      <c r="GI81" s="112"/>
      <c r="GJ81" s="116"/>
      <c r="GK81" s="119">
        <f t="shared" si="58"/>
        <v>16.24724082</v>
      </c>
      <c r="GL81" s="128">
        <f>1+((GK81-MIN(ratings_sums))*(4)/(MAX(ratings_sums) - MIN(ratings_sums)))</f>
        <v>3.777899044</v>
      </c>
    </row>
    <row r="82" ht="15.75" customHeight="1">
      <c r="A82" s="176" t="s">
        <v>702</v>
      </c>
      <c r="B82" s="169">
        <v>1702255.0</v>
      </c>
      <c r="C82" s="177" t="s">
        <v>896</v>
      </c>
      <c r="D82" s="178">
        <v>43885.46944444445</v>
      </c>
      <c r="E82" s="170" t="s">
        <v>381</v>
      </c>
      <c r="F82" s="150" t="s">
        <v>897</v>
      </c>
      <c r="G82" s="150" t="s">
        <v>898</v>
      </c>
      <c r="H82" s="179">
        <v>43881.0</v>
      </c>
      <c r="I82" s="180" t="s">
        <v>899</v>
      </c>
      <c r="J82" s="180" t="s">
        <v>896</v>
      </c>
      <c r="K82" s="170" t="s">
        <v>543</v>
      </c>
      <c r="L82" s="170" t="s">
        <v>349</v>
      </c>
      <c r="M82" s="170" t="s">
        <v>31</v>
      </c>
      <c r="N82" s="170" t="s">
        <v>101</v>
      </c>
      <c r="O82" s="170" t="s">
        <v>35</v>
      </c>
      <c r="P82" s="171"/>
      <c r="Q82" s="170" t="s">
        <v>121</v>
      </c>
      <c r="R82" s="181"/>
      <c r="S82" s="182"/>
      <c r="T82" s="21">
        <v>7970000.0</v>
      </c>
      <c r="U82" s="183"/>
      <c r="V82" s="207"/>
      <c r="W82" s="96" t="str">
        <f t="shared" si="125"/>
        <v/>
      </c>
      <c r="X82" s="98">
        <f t="shared" si="126"/>
        <v>7970000</v>
      </c>
      <c r="Y82" s="99" t="str">
        <f t="shared" si="127"/>
        <v>$6M - $8M</v>
      </c>
      <c r="Z82" s="170" t="s">
        <v>36</v>
      </c>
      <c r="AA82" s="170" t="s">
        <v>37</v>
      </c>
      <c r="AB82" s="170" t="s">
        <v>88</v>
      </c>
      <c r="AC82" s="170" t="s">
        <v>493</v>
      </c>
      <c r="AD82" s="170" t="s">
        <v>89</v>
      </c>
      <c r="AE82" s="170" t="s">
        <v>89</v>
      </c>
      <c r="AF82" s="170" t="s">
        <v>469</v>
      </c>
      <c r="AG82" s="184">
        <v>8.53609882367E11</v>
      </c>
      <c r="AH82" s="97" t="str">
        <f t="shared" si="128"/>
        <v>$500B-$1T</v>
      </c>
      <c r="AI82" s="184">
        <v>9.3848952414E10</v>
      </c>
      <c r="AJ82" s="97" t="str">
        <f t="shared" si="129"/>
        <v>$50B-$100B</v>
      </c>
      <c r="AK82" s="186">
        <v>0.162</v>
      </c>
      <c r="AL82" s="88" t="str">
        <f t="shared" si="130"/>
        <v>10%-20%</v>
      </c>
      <c r="AM82" s="169">
        <v>100.0</v>
      </c>
      <c r="AN82" s="170" t="s">
        <v>39</v>
      </c>
      <c r="AO82" s="170" t="s">
        <v>39</v>
      </c>
      <c r="AP82" s="170" t="s">
        <v>90</v>
      </c>
      <c r="AQ82" s="100" t="s">
        <v>39</v>
      </c>
      <c r="AR82" s="100" t="s">
        <v>39</v>
      </c>
      <c r="AS82" s="170" t="s">
        <v>469</v>
      </c>
      <c r="AT82" s="170" t="s">
        <v>493</v>
      </c>
      <c r="AU82" s="170" t="s">
        <v>493</v>
      </c>
      <c r="AV82" s="170" t="s">
        <v>469</v>
      </c>
      <c r="AW82" s="184">
        <v>0.0</v>
      </c>
      <c r="AX82" s="96" t="str">
        <f t="shared" si="131"/>
        <v>&lt; $10K</v>
      </c>
      <c r="AY82" s="184">
        <v>52226.0</v>
      </c>
      <c r="AZ82" s="21">
        <v>0.0</v>
      </c>
      <c r="BA82" s="103" t="str">
        <f t="shared" si="132"/>
        <v>&lt; $10K</v>
      </c>
      <c r="BB82" s="103">
        <f t="shared" si="133"/>
        <v>1</v>
      </c>
      <c r="BC82" s="103" t="str">
        <f t="shared" si="134"/>
        <v>90% - 100%</v>
      </c>
      <c r="BD82" s="170" t="s">
        <v>91</v>
      </c>
      <c r="BE82" s="171"/>
      <c r="BF82" s="170" t="s">
        <v>493</v>
      </c>
      <c r="BG82" s="170">
        <v>4.0</v>
      </c>
      <c r="BH82" s="169">
        <v>1.0</v>
      </c>
      <c r="BI82" s="90" t="s">
        <v>469</v>
      </c>
      <c r="BJ82" s="170" t="s">
        <v>469</v>
      </c>
      <c r="BK82" s="170" t="s">
        <v>469</v>
      </c>
      <c r="BL82" s="170" t="s">
        <v>469</v>
      </c>
      <c r="BM82" s="169">
        <v>1.0</v>
      </c>
      <c r="BN82" s="169">
        <v>10.0</v>
      </c>
      <c r="BO82" s="169">
        <v>4.0</v>
      </c>
      <c r="BP82" s="169">
        <v>0.0</v>
      </c>
      <c r="BQ82" s="108"/>
      <c r="BR82" s="15">
        <v>5.0</v>
      </c>
      <c r="BS82" s="15">
        <v>0.0</v>
      </c>
      <c r="BT82" s="15">
        <v>0.0</v>
      </c>
      <c r="BU82" s="15">
        <v>53.0</v>
      </c>
      <c r="BV82" s="15" t="s">
        <v>469</v>
      </c>
      <c r="BW82" s="108"/>
      <c r="CC82" s="108"/>
      <c r="CI82" s="108"/>
      <c r="CO82" s="108"/>
      <c r="CU82" s="108"/>
      <c r="DA82" s="108"/>
      <c r="DG82" s="108"/>
      <c r="DM82" s="108"/>
      <c r="DS82" s="108"/>
      <c r="DT82" s="108"/>
      <c r="DU82" s="108"/>
      <c r="DW82" s="109"/>
      <c r="DX82" s="110">
        <f t="shared" si="13"/>
        <v>5</v>
      </c>
      <c r="DY82" s="111">
        <f t="shared" ref="DY82:DZ82" si="223">sum(BS82,BY82,CE82,CK82,CQ82,CW82,DC82,DI82,DO82)</f>
        <v>0</v>
      </c>
      <c r="DZ82" s="111">
        <f t="shared" si="223"/>
        <v>0</v>
      </c>
      <c r="EA82" s="110">
        <f t="shared" si="15"/>
        <v>53</v>
      </c>
      <c r="EB82" s="99" t="str">
        <f t="shared" si="16"/>
        <v>35 - 54</v>
      </c>
      <c r="EC82" s="112"/>
      <c r="ED82" s="113">
        <f t="shared" si="17"/>
        <v>4.2</v>
      </c>
      <c r="EE82" s="114" t="str">
        <f>IF(V82 &lt;&gt; "", 1+((V82-MIN(discount_rates))*(4)/(MAX(discount_rates) - MIN(discount_rates))), "")</f>
        <v/>
      </c>
      <c r="EF82" s="114" t="str">
        <f>IF(Q82="Debt", (1+((S82-MIN(interest_rates))*(4)/(MAX(interest_rates) - MIN(interest_rates)))), "")</f>
        <v/>
      </c>
      <c r="EG82" s="114" t="str">
        <f>IF(OR(Q82="Revenue Share", Q82="Profit Share"), (1+((R82-MIN(return_mutiples))*(4)/(MAX(return_mutiples) - MIN(return_mutiples)))), "")</f>
        <v/>
      </c>
      <c r="EH82" s="115">
        <f t="shared" si="18"/>
        <v>4.2</v>
      </c>
      <c r="EI82" s="116" t="str">
        <f t="shared" si="19"/>
        <v>Equity - Common</v>
      </c>
      <c r="EJ82" s="117">
        <f t="shared" si="20"/>
        <v>0.3287671233</v>
      </c>
      <c r="EK82" s="116" t="str">
        <f t="shared" si="21"/>
        <v>Early</v>
      </c>
      <c r="EL82" s="112"/>
      <c r="EM82" s="118">
        <f t="shared" si="22"/>
        <v>3.9</v>
      </c>
      <c r="EN82" s="118">
        <f t="shared" si="23"/>
        <v>2.3</v>
      </c>
      <c r="EO82" s="119">
        <f t="shared" si="24"/>
        <v>6.2</v>
      </c>
      <c r="EP82" s="115">
        <f>1+((EO82-MIN(market_ratings_sums))*(4)/(MAX(market_ratings_sums) - MIN(market_ratings_sums)))</f>
        <v>3.456140351</v>
      </c>
      <c r="EQ82" s="116" t="str">
        <f t="shared" si="25"/>
        <v>No</v>
      </c>
      <c r="ER82" s="112"/>
      <c r="ES82" s="123">
        <f>1+((DX82-MIN(industry_experiences))*(4)/(MAX(industry_experiences) - MIN(industry_experiences)))</f>
        <v>1.476190476</v>
      </c>
      <c r="ET82" s="123">
        <f>1+((DY82-MIN(previous_startups))*(4)/(MAX(previous_startups) - MIN(previous_startups)))</f>
        <v>1</v>
      </c>
      <c r="EU82" s="123">
        <f>1+((DZ82-MIN(exits))*(4)/(MAX(exits) - MIN(exits)))</f>
        <v>1</v>
      </c>
      <c r="EV82" s="119">
        <f t="shared" si="26"/>
        <v>3.476190476</v>
      </c>
      <c r="EW82" s="124">
        <f>1+((EV82-MIN(team_ratings_sums))*(4)/(MAX(team_ratings_sums) - MIN(team_ratings_sums)))</f>
        <v>1.260869565</v>
      </c>
      <c r="EX82" s="116" t="str">
        <f t="shared" si="27"/>
        <v>35 - 54</v>
      </c>
      <c r="EY82" s="125">
        <f t="shared" si="28"/>
        <v>0.6849315068</v>
      </c>
      <c r="EZ82" s="116">
        <f t="shared" si="29"/>
        <v>1</v>
      </c>
      <c r="FA82" s="125">
        <f t="shared" si="30"/>
        <v>0.4383561644</v>
      </c>
      <c r="FB82" s="116">
        <f t="shared" si="31"/>
        <v>10</v>
      </c>
      <c r="FC82" s="125">
        <f t="shared" si="32"/>
        <v>0.02739726027</v>
      </c>
      <c r="FD82" s="116" t="str">
        <f t="shared" si="33"/>
        <v>No</v>
      </c>
      <c r="FE82" s="125">
        <f t="shared" si="34"/>
        <v>0.7534246575</v>
      </c>
      <c r="FF82" s="116" t="str">
        <f t="shared" ref="FF82:FH82" si="224">BJ82</f>
        <v>No</v>
      </c>
      <c r="FG82" s="116" t="str">
        <f t="shared" si="224"/>
        <v>No</v>
      </c>
      <c r="FH82" s="116" t="str">
        <f t="shared" si="224"/>
        <v>No</v>
      </c>
      <c r="FI82" s="112"/>
      <c r="FJ82" s="116" t="str">
        <f t="shared" si="36"/>
        <v>Transactional</v>
      </c>
      <c r="FK82" s="125">
        <f t="shared" si="37"/>
        <v>0.602739726</v>
      </c>
      <c r="FL82" s="116" t="str">
        <f t="shared" si="38"/>
        <v>B2B</v>
      </c>
      <c r="FM82" s="125">
        <f t="shared" si="39"/>
        <v>0.2465753425</v>
      </c>
      <c r="FN82" s="116" t="str">
        <f t="shared" si="40"/>
        <v>Low</v>
      </c>
      <c r="FO82" s="125">
        <f t="shared" si="41"/>
        <v>0.4383561644</v>
      </c>
      <c r="FP82" s="116" t="str">
        <f t="shared" si="42"/>
        <v>Low</v>
      </c>
      <c r="FQ82" s="125">
        <f t="shared" si="43"/>
        <v>0.3561643836</v>
      </c>
      <c r="FR82" s="112"/>
      <c r="FS82" s="123">
        <f t="shared" si="44"/>
        <v>3</v>
      </c>
      <c r="FT82" s="123">
        <f t="shared" si="45"/>
        <v>1</v>
      </c>
      <c r="FU82" s="123">
        <f t="shared" si="46"/>
        <v>1</v>
      </c>
      <c r="FV82" s="123">
        <f t="shared" si="47"/>
        <v>5</v>
      </c>
      <c r="FW82" s="119">
        <f t="shared" si="48"/>
        <v>10</v>
      </c>
      <c r="FX82" s="115">
        <f>1+((FW82-MIN(performance_ratings_sums))*(4)/(MAX(performance_ratings_sums) - MIN(performance_ratings_sums)))</f>
        <v>2.23364486</v>
      </c>
      <c r="FY82" s="116" t="str">
        <f t="shared" si="49"/>
        <v>Pre-Revenue</v>
      </c>
      <c r="FZ82" s="126">
        <f t="shared" si="50"/>
        <v>0.2054794521</v>
      </c>
      <c r="GA82" s="112"/>
      <c r="GB82" s="127">
        <f t="shared" si="51"/>
        <v>5</v>
      </c>
      <c r="GC82" s="116" t="str">
        <f t="shared" si="52"/>
        <v>Yes</v>
      </c>
      <c r="GD82" s="126">
        <f t="shared" si="53"/>
        <v>0.2328767123</v>
      </c>
      <c r="GE82" s="126" t="str">
        <f t="shared" si="54"/>
        <v>High</v>
      </c>
      <c r="GF82" s="126">
        <f t="shared" si="55"/>
        <v>0.4520547945</v>
      </c>
      <c r="GG82" s="126" t="str">
        <f t="shared" si="56"/>
        <v>High</v>
      </c>
      <c r="GH82" s="126">
        <f t="shared" si="57"/>
        <v>0.8082191781</v>
      </c>
      <c r="GI82" s="112"/>
      <c r="GJ82" s="116"/>
      <c r="GK82" s="119">
        <f t="shared" si="58"/>
        <v>16.15065478</v>
      </c>
      <c r="GL82" s="128">
        <f>1+((GK82-MIN(ratings_sums))*(4)/(MAX(ratings_sums) - MIN(ratings_sums)))</f>
        <v>3.748262587</v>
      </c>
    </row>
    <row r="83" ht="15.75" customHeight="1">
      <c r="A83" s="176" t="s">
        <v>702</v>
      </c>
      <c r="B83" s="169">
        <v>1800204.0</v>
      </c>
      <c r="C83" s="177" t="s">
        <v>900</v>
      </c>
      <c r="D83" s="178">
        <v>43885.475</v>
      </c>
      <c r="E83" s="170" t="s">
        <v>392</v>
      </c>
      <c r="F83" s="150" t="s">
        <v>901</v>
      </c>
      <c r="G83" s="150" t="s">
        <v>902</v>
      </c>
      <c r="H83" s="190">
        <v>43852.0</v>
      </c>
      <c r="I83" s="180" t="s">
        <v>903</v>
      </c>
      <c r="J83" s="180" t="s">
        <v>900</v>
      </c>
      <c r="K83" s="170" t="s">
        <v>422</v>
      </c>
      <c r="L83" s="170" t="s">
        <v>117</v>
      </c>
      <c r="M83" s="170" t="s">
        <v>31</v>
      </c>
      <c r="N83" s="170" t="s">
        <v>82</v>
      </c>
      <c r="O83" s="170" t="s">
        <v>35</v>
      </c>
      <c r="P83" s="171"/>
      <c r="Q83" s="170" t="s">
        <v>135</v>
      </c>
      <c r="R83" s="181"/>
      <c r="S83" s="182"/>
      <c r="T83" s="21">
        <v>5000000.0</v>
      </c>
      <c r="U83" s="183"/>
      <c r="V83" s="203"/>
      <c r="W83" s="96" t="str">
        <f t="shared" si="125"/>
        <v/>
      </c>
      <c r="X83" s="98">
        <f t="shared" si="126"/>
        <v>5000000</v>
      </c>
      <c r="Y83" s="99" t="str">
        <f t="shared" si="127"/>
        <v>$4M - $6M</v>
      </c>
      <c r="Z83" s="170" t="s">
        <v>36</v>
      </c>
      <c r="AA83" s="170" t="s">
        <v>123</v>
      </c>
      <c r="AB83" s="170" t="s">
        <v>38</v>
      </c>
      <c r="AC83" s="170" t="s">
        <v>469</v>
      </c>
      <c r="AD83" s="170" t="s">
        <v>89</v>
      </c>
      <c r="AE83" s="170" t="s">
        <v>89</v>
      </c>
      <c r="AF83" s="170" t="s">
        <v>469</v>
      </c>
      <c r="AG83" s="184">
        <v>3.12E10</v>
      </c>
      <c r="AH83" s="97" t="str">
        <f t="shared" si="128"/>
        <v>$25B-$50B</v>
      </c>
      <c r="AI83" s="184">
        <v>3.12E10</v>
      </c>
      <c r="AJ83" s="97" t="str">
        <f t="shared" si="129"/>
        <v>$25B-$50B</v>
      </c>
      <c r="AK83" s="186">
        <v>0.04</v>
      </c>
      <c r="AL83" s="88" t="str">
        <f t="shared" si="130"/>
        <v>0%-10%</v>
      </c>
      <c r="AM83" s="169">
        <v>100.0</v>
      </c>
      <c r="AN83" s="170" t="s">
        <v>39</v>
      </c>
      <c r="AO83" s="170" t="s">
        <v>89</v>
      </c>
      <c r="AP83" s="170" t="s">
        <v>90</v>
      </c>
      <c r="AQ83" s="100" t="s">
        <v>89</v>
      </c>
      <c r="AR83" s="100" t="s">
        <v>39</v>
      </c>
      <c r="AS83" s="170" t="s">
        <v>493</v>
      </c>
      <c r="AT83" s="170" t="s">
        <v>469</v>
      </c>
      <c r="AU83" s="170" t="s">
        <v>493</v>
      </c>
      <c r="AV83" s="170" t="s">
        <v>493</v>
      </c>
      <c r="AW83" s="184">
        <v>10623.0</v>
      </c>
      <c r="AX83" s="96" t="str">
        <f t="shared" si="131"/>
        <v>$10K - $50K</v>
      </c>
      <c r="AY83" s="184">
        <v>3380.0</v>
      </c>
      <c r="AZ83" s="184">
        <v>0.0</v>
      </c>
      <c r="BA83" s="103" t="str">
        <f t="shared" si="132"/>
        <v>&lt; $10K</v>
      </c>
      <c r="BB83" s="103">
        <f t="shared" si="133"/>
        <v>1</v>
      </c>
      <c r="BC83" s="103" t="str">
        <f t="shared" si="134"/>
        <v>90% - 100%</v>
      </c>
      <c r="BD83" s="170" t="s">
        <v>107</v>
      </c>
      <c r="BE83" s="171"/>
      <c r="BF83" s="170" t="s">
        <v>469</v>
      </c>
      <c r="BG83" s="170">
        <v>0.0</v>
      </c>
      <c r="BH83" s="169">
        <v>1.0</v>
      </c>
      <c r="BI83" s="90" t="s">
        <v>469</v>
      </c>
      <c r="BJ83" s="170" t="s">
        <v>469</v>
      </c>
      <c r="BK83" s="170" t="s">
        <v>469</v>
      </c>
      <c r="BL83" s="170" t="s">
        <v>469</v>
      </c>
      <c r="BM83" s="169">
        <v>2.0</v>
      </c>
      <c r="BN83" s="169">
        <v>3.0</v>
      </c>
      <c r="BO83" s="169">
        <v>1.0</v>
      </c>
      <c r="BP83" s="169">
        <v>0.0</v>
      </c>
      <c r="BQ83" s="108"/>
      <c r="BR83" s="15">
        <v>9.0</v>
      </c>
      <c r="BS83" s="15">
        <v>0.0</v>
      </c>
      <c r="BT83" s="15">
        <v>0.0</v>
      </c>
      <c r="BU83" s="15">
        <v>55.0</v>
      </c>
      <c r="BV83" s="15" t="s">
        <v>469</v>
      </c>
      <c r="BW83" s="108"/>
      <c r="CC83" s="108"/>
      <c r="CI83" s="108"/>
      <c r="CO83" s="108"/>
      <c r="CU83" s="108"/>
      <c r="DA83" s="108"/>
      <c r="DG83" s="108"/>
      <c r="DM83" s="108"/>
      <c r="DS83" s="108"/>
      <c r="DT83" s="108"/>
      <c r="DU83" s="108"/>
      <c r="DW83" s="109"/>
      <c r="DX83" s="110">
        <f t="shared" si="13"/>
        <v>9</v>
      </c>
      <c r="DY83" s="111">
        <f t="shared" ref="DY83:DZ83" si="225">sum(BS83,BY83,CE83,CK83,CQ83,CW83,DC83,DI83,DO83)</f>
        <v>0</v>
      </c>
      <c r="DZ83" s="111">
        <f t="shared" si="225"/>
        <v>0</v>
      </c>
      <c r="EA83" s="110">
        <f t="shared" si="15"/>
        <v>55</v>
      </c>
      <c r="EB83" s="99" t="str">
        <f t="shared" si="16"/>
        <v>55+</v>
      </c>
      <c r="EC83" s="112"/>
      <c r="ED83" s="113">
        <f t="shared" si="17"/>
        <v>4.4</v>
      </c>
      <c r="EE83" s="114" t="str">
        <f>IF(V83 &lt;&gt; "", 1+((V83-MIN(discount_rates))*(4)/(MAX(discount_rates) - MIN(discount_rates))), "")</f>
        <v/>
      </c>
      <c r="EF83" s="114" t="str">
        <f>IF(Q83="Debt", (1+((S83-MIN(interest_rates))*(4)/(MAX(interest_rates) - MIN(interest_rates)))), "")</f>
        <v/>
      </c>
      <c r="EG83" s="114" t="str">
        <f>IF(OR(Q83="Revenue Share", Q83="Profit Share"), (1+((R83-MIN(return_mutiples))*(4)/(MAX(return_mutiples) - MIN(return_mutiples)))), "")</f>
        <v/>
      </c>
      <c r="EH83" s="115">
        <f t="shared" si="18"/>
        <v>4.4</v>
      </c>
      <c r="EI83" s="116" t="str">
        <f t="shared" si="19"/>
        <v>Equity - Preferred</v>
      </c>
      <c r="EJ83" s="117">
        <f t="shared" si="20"/>
        <v>0.06849315068</v>
      </c>
      <c r="EK83" s="116" t="str">
        <f t="shared" si="21"/>
        <v>Early</v>
      </c>
      <c r="EL83" s="112"/>
      <c r="EM83" s="118">
        <f t="shared" si="22"/>
        <v>3.6</v>
      </c>
      <c r="EN83" s="118">
        <f t="shared" si="23"/>
        <v>1.7</v>
      </c>
      <c r="EO83" s="119">
        <f t="shared" si="24"/>
        <v>5.3</v>
      </c>
      <c r="EP83" s="115">
        <f>1+((EO83-MIN(market_ratings_sums))*(4)/(MAX(market_ratings_sums) - MIN(market_ratings_sums)))</f>
        <v>2.824561404</v>
      </c>
      <c r="EQ83" s="116" t="str">
        <f t="shared" si="25"/>
        <v>Yes</v>
      </c>
      <c r="ER83" s="112"/>
      <c r="ES83" s="123">
        <f>1+((DX83-MIN(industry_experiences))*(4)/(MAX(industry_experiences) - MIN(industry_experiences)))</f>
        <v>1.857142857</v>
      </c>
      <c r="ET83" s="123">
        <f>1+((DY83-MIN(previous_startups))*(4)/(MAX(previous_startups) - MIN(previous_startups)))</f>
        <v>1</v>
      </c>
      <c r="EU83" s="123">
        <f>1+((DZ83-MIN(exits))*(4)/(MAX(exits) - MIN(exits)))</f>
        <v>1</v>
      </c>
      <c r="EV83" s="119">
        <f t="shared" si="26"/>
        <v>3.857142857</v>
      </c>
      <c r="EW83" s="124">
        <f>1+((EV83-MIN(team_ratings_sums))*(4)/(MAX(team_ratings_sums) - MIN(team_ratings_sums)))</f>
        <v>1.469565217</v>
      </c>
      <c r="EX83" s="116" t="str">
        <f t="shared" si="27"/>
        <v>55+</v>
      </c>
      <c r="EY83" s="125">
        <f t="shared" si="28"/>
        <v>0.1095890411</v>
      </c>
      <c r="EZ83" s="116">
        <f t="shared" si="29"/>
        <v>1</v>
      </c>
      <c r="FA83" s="125">
        <f t="shared" si="30"/>
        <v>0.4383561644</v>
      </c>
      <c r="FB83" s="116">
        <f t="shared" si="31"/>
        <v>3</v>
      </c>
      <c r="FC83" s="125">
        <f t="shared" si="32"/>
        <v>0.08219178082</v>
      </c>
      <c r="FD83" s="116" t="str">
        <f t="shared" si="33"/>
        <v>No</v>
      </c>
      <c r="FE83" s="125">
        <f t="shared" si="34"/>
        <v>0.7534246575</v>
      </c>
      <c r="FF83" s="116" t="str">
        <f t="shared" ref="FF83:FH83" si="226">BJ83</f>
        <v>No</v>
      </c>
      <c r="FG83" s="116" t="str">
        <f t="shared" si="226"/>
        <v>No</v>
      </c>
      <c r="FH83" s="116" t="str">
        <f t="shared" si="226"/>
        <v>No</v>
      </c>
      <c r="FI83" s="112"/>
      <c r="FJ83" s="116" t="str">
        <f t="shared" si="36"/>
        <v>Transactional</v>
      </c>
      <c r="FK83" s="125">
        <f t="shared" si="37"/>
        <v>0.602739726</v>
      </c>
      <c r="FL83" s="116" t="str">
        <f t="shared" si="38"/>
        <v>B2B/B2C</v>
      </c>
      <c r="FM83" s="125">
        <f t="shared" si="39"/>
        <v>0.3287671233</v>
      </c>
      <c r="FN83" s="116" t="str">
        <f t="shared" si="40"/>
        <v>Low</v>
      </c>
      <c r="FO83" s="125">
        <f t="shared" si="41"/>
        <v>0.4383561644</v>
      </c>
      <c r="FP83" s="116" t="str">
        <f t="shared" si="42"/>
        <v>Low</v>
      </c>
      <c r="FQ83" s="125">
        <f t="shared" si="43"/>
        <v>0.3561643836</v>
      </c>
      <c r="FR83" s="112"/>
      <c r="FS83" s="123">
        <f t="shared" si="44"/>
        <v>5</v>
      </c>
      <c r="FT83" s="123">
        <f t="shared" si="45"/>
        <v>1.4</v>
      </c>
      <c r="FU83" s="123">
        <f t="shared" si="46"/>
        <v>1</v>
      </c>
      <c r="FV83" s="123">
        <f t="shared" si="47"/>
        <v>5</v>
      </c>
      <c r="FW83" s="119">
        <f t="shared" si="48"/>
        <v>12.4</v>
      </c>
      <c r="FX83" s="115">
        <f>1+((FW83-MIN(performance_ratings_sums))*(4)/(MAX(performance_ratings_sums) - MIN(performance_ratings_sums)))</f>
        <v>3.130841121</v>
      </c>
      <c r="FY83" s="116" t="str">
        <f t="shared" si="49"/>
        <v>Pre-Profit</v>
      </c>
      <c r="FZ83" s="126">
        <f t="shared" si="50"/>
        <v>0.4931506849</v>
      </c>
      <c r="GA83" s="112"/>
      <c r="GB83" s="127">
        <f t="shared" si="51"/>
        <v>3</v>
      </c>
      <c r="GC83" s="116" t="str">
        <f t="shared" si="52"/>
        <v>No</v>
      </c>
      <c r="GD83" s="126">
        <f t="shared" si="53"/>
        <v>0.7671232877</v>
      </c>
      <c r="GE83" s="126" t="str">
        <f t="shared" si="54"/>
        <v>Low</v>
      </c>
      <c r="GF83" s="126">
        <f t="shared" si="55"/>
        <v>0.5479452055</v>
      </c>
      <c r="GG83" s="126" t="str">
        <f t="shared" si="56"/>
        <v>High</v>
      </c>
      <c r="GH83" s="126">
        <f t="shared" si="57"/>
        <v>0.8082191781</v>
      </c>
      <c r="GI83" s="112"/>
      <c r="GJ83" s="116"/>
      <c r="GK83" s="119">
        <f t="shared" si="58"/>
        <v>14.82496774</v>
      </c>
      <c r="GL83" s="128">
        <f>1+((GK83-MIN(ratings_sums))*(4)/(MAX(ratings_sums) - MIN(ratings_sums)))</f>
        <v>3.34148882</v>
      </c>
    </row>
    <row r="84" ht="15.75" customHeight="1">
      <c r="A84" s="200" t="s">
        <v>702</v>
      </c>
      <c r="B84" s="191">
        <v>1792754.0</v>
      </c>
      <c r="C84" s="180" t="s">
        <v>904</v>
      </c>
      <c r="D84" s="196">
        <v>43886.450694444444</v>
      </c>
      <c r="E84" s="175" t="s">
        <v>126</v>
      </c>
      <c r="F84" s="192" t="s">
        <v>905</v>
      </c>
      <c r="G84" s="192" t="s">
        <v>906</v>
      </c>
      <c r="H84" s="193">
        <v>44191.0</v>
      </c>
      <c r="I84" s="197" t="s">
        <v>907</v>
      </c>
      <c r="J84" s="180" t="s">
        <v>908</v>
      </c>
      <c r="K84" s="175" t="s">
        <v>490</v>
      </c>
      <c r="L84" s="175" t="s">
        <v>362</v>
      </c>
      <c r="M84" s="175" t="s">
        <v>31</v>
      </c>
      <c r="N84" s="175" t="s">
        <v>82</v>
      </c>
      <c r="O84" s="175" t="s">
        <v>35</v>
      </c>
      <c r="P84" s="171"/>
      <c r="Q84" s="175" t="s">
        <v>121</v>
      </c>
      <c r="R84" s="181"/>
      <c r="S84" s="182"/>
      <c r="T84" s="21">
        <v>1.5E7</v>
      </c>
      <c r="U84" s="183"/>
      <c r="V84" s="207"/>
      <c r="W84" s="96" t="str">
        <f t="shared" si="125"/>
        <v/>
      </c>
      <c r="X84" s="98">
        <f t="shared" si="126"/>
        <v>15000000</v>
      </c>
      <c r="Y84" s="99" t="str">
        <f t="shared" si="127"/>
        <v>$14M - $16M</v>
      </c>
      <c r="Z84" s="175" t="s">
        <v>86</v>
      </c>
      <c r="AA84" s="175" t="s">
        <v>37</v>
      </c>
      <c r="AB84" s="175" t="s">
        <v>88</v>
      </c>
      <c r="AC84" s="175" t="s">
        <v>493</v>
      </c>
      <c r="AD84" s="175" t="s">
        <v>39</v>
      </c>
      <c r="AE84" s="175" t="s">
        <v>39</v>
      </c>
      <c r="AF84" s="170" t="s">
        <v>469</v>
      </c>
      <c r="AG84" s="16">
        <v>2.9600714E9</v>
      </c>
      <c r="AH84" s="97" t="str">
        <f t="shared" si="128"/>
        <v>$1B-$5B</v>
      </c>
      <c r="AI84" s="16">
        <v>2.9600714E9</v>
      </c>
      <c r="AJ84" s="97" t="str">
        <f t="shared" si="129"/>
        <v>$1B-$5B</v>
      </c>
      <c r="AK84" s="199">
        <v>0.067</v>
      </c>
      <c r="AL84" s="88" t="str">
        <f t="shared" si="130"/>
        <v>0%-10%</v>
      </c>
      <c r="AM84" s="191">
        <v>3.0</v>
      </c>
      <c r="AN84" s="175" t="s">
        <v>39</v>
      </c>
      <c r="AO84" s="175" t="s">
        <v>39</v>
      </c>
      <c r="AP84" s="175" t="s">
        <v>90</v>
      </c>
      <c r="AQ84" s="143" t="s">
        <v>39</v>
      </c>
      <c r="AR84" s="143" t="s">
        <v>89</v>
      </c>
      <c r="AS84" s="175" t="s">
        <v>469</v>
      </c>
      <c r="AT84" s="175" t="s">
        <v>493</v>
      </c>
      <c r="AU84" s="175" t="s">
        <v>493</v>
      </c>
      <c r="AV84" s="175" t="s">
        <v>493</v>
      </c>
      <c r="AW84" s="16">
        <v>3400.0</v>
      </c>
      <c r="AX84" s="96" t="str">
        <f t="shared" si="131"/>
        <v>&lt; $10K</v>
      </c>
      <c r="AY84" s="16">
        <v>50586.0</v>
      </c>
      <c r="AZ84" s="21">
        <v>1600000.0</v>
      </c>
      <c r="BA84" s="103" t="str">
        <f t="shared" si="132"/>
        <v>$1M - $2M</v>
      </c>
      <c r="BB84" s="103">
        <f t="shared" si="133"/>
        <v>0.03161625</v>
      </c>
      <c r="BC84" s="103" t="str">
        <f t="shared" si="134"/>
        <v>&lt; 10%</v>
      </c>
      <c r="BD84" s="175" t="s">
        <v>107</v>
      </c>
      <c r="BE84" s="171"/>
      <c r="BF84" s="175" t="s">
        <v>493</v>
      </c>
      <c r="BG84" s="170">
        <v>1.0</v>
      </c>
      <c r="BH84" s="191">
        <v>1.0</v>
      </c>
      <c r="BI84" s="90" t="s">
        <v>469</v>
      </c>
      <c r="BJ84" s="175" t="s">
        <v>469</v>
      </c>
      <c r="BK84" s="175" t="s">
        <v>469</v>
      </c>
      <c r="BL84" s="175" t="s">
        <v>469</v>
      </c>
      <c r="BM84" s="191">
        <v>3.0</v>
      </c>
      <c r="BN84" s="191">
        <v>3.0</v>
      </c>
      <c r="BO84" s="191">
        <v>4.0</v>
      </c>
      <c r="BP84" s="191">
        <v>0.0</v>
      </c>
      <c r="BQ84" s="108"/>
      <c r="BR84" s="15">
        <v>9.0</v>
      </c>
      <c r="BS84" s="15">
        <v>0.0</v>
      </c>
      <c r="BT84" s="15">
        <v>0.0</v>
      </c>
      <c r="BU84" s="15">
        <v>51.0</v>
      </c>
      <c r="BV84" s="15" t="s">
        <v>469</v>
      </c>
      <c r="BW84" s="108"/>
      <c r="CC84" s="108"/>
      <c r="CI84" s="108"/>
      <c r="CO84" s="108"/>
      <c r="CU84" s="108"/>
      <c r="DA84" s="108"/>
      <c r="DG84" s="108"/>
      <c r="DM84" s="108"/>
      <c r="DS84" s="108"/>
      <c r="DT84" s="108"/>
      <c r="DU84" s="108"/>
      <c r="DW84" s="109"/>
      <c r="DX84" s="110">
        <f t="shared" si="13"/>
        <v>9</v>
      </c>
      <c r="DY84" s="111">
        <f t="shared" ref="DY84:DZ84" si="227">sum(BS84,BY84,CE84,CK84,CQ84,CW84,DC84,DI84,DO84)</f>
        <v>0</v>
      </c>
      <c r="DZ84" s="111">
        <f t="shared" si="227"/>
        <v>0</v>
      </c>
      <c r="EA84" s="110">
        <f t="shared" si="15"/>
        <v>51</v>
      </c>
      <c r="EB84" s="99" t="str">
        <f t="shared" si="16"/>
        <v>35 - 54</v>
      </c>
      <c r="EC84" s="112"/>
      <c r="ED84" s="113">
        <f t="shared" si="17"/>
        <v>3.5</v>
      </c>
      <c r="EE84" s="114" t="str">
        <f>IF(V84 &lt;&gt; "", 1+((V84-MIN(discount_rates))*(4)/(MAX(discount_rates) - MIN(discount_rates))), "")</f>
        <v/>
      </c>
      <c r="EF84" s="114" t="str">
        <f>IF(Q84="Debt", (1+((S84-MIN(interest_rates))*(4)/(MAX(interest_rates) - MIN(interest_rates)))), "")</f>
        <v/>
      </c>
      <c r="EG84" s="114" t="str">
        <f>IF(OR(Q84="Revenue Share", Q84="Profit Share"), (1+((R84-MIN(return_mutiples))*(4)/(MAX(return_mutiples) - MIN(return_mutiples)))), "")</f>
        <v/>
      </c>
      <c r="EH84" s="115">
        <f t="shared" si="18"/>
        <v>3.5</v>
      </c>
      <c r="EI84" s="116" t="str">
        <f t="shared" si="19"/>
        <v>Equity - Common</v>
      </c>
      <c r="EJ84" s="117">
        <f t="shared" si="20"/>
        <v>0.3287671233</v>
      </c>
      <c r="EK84" s="116" t="str">
        <f t="shared" si="21"/>
        <v>Early</v>
      </c>
      <c r="EL84" s="112"/>
      <c r="EM84" s="118">
        <f t="shared" si="22"/>
        <v>2.7</v>
      </c>
      <c r="EN84" s="118">
        <f t="shared" si="23"/>
        <v>1.7</v>
      </c>
      <c r="EO84" s="119">
        <f t="shared" si="24"/>
        <v>4.4</v>
      </c>
      <c r="EP84" s="115">
        <f>1+((EO84-MIN(market_ratings_sums))*(4)/(MAX(market_ratings_sums) - MIN(market_ratings_sums)))</f>
        <v>2.192982456</v>
      </c>
      <c r="EQ84" s="116" t="str">
        <f t="shared" si="25"/>
        <v>No</v>
      </c>
      <c r="ER84" s="112"/>
      <c r="ES84" s="123">
        <f>1+((DX84-MIN(industry_experiences))*(4)/(MAX(industry_experiences) - MIN(industry_experiences)))</f>
        <v>1.857142857</v>
      </c>
      <c r="ET84" s="123">
        <f>1+((DY84-MIN(previous_startups))*(4)/(MAX(previous_startups) - MIN(previous_startups)))</f>
        <v>1</v>
      </c>
      <c r="EU84" s="123">
        <f>1+((DZ84-MIN(exits))*(4)/(MAX(exits) - MIN(exits)))</f>
        <v>1</v>
      </c>
      <c r="EV84" s="119">
        <f t="shared" si="26"/>
        <v>3.857142857</v>
      </c>
      <c r="EW84" s="124">
        <f>1+((EV84-MIN(team_ratings_sums))*(4)/(MAX(team_ratings_sums) - MIN(team_ratings_sums)))</f>
        <v>1.469565217</v>
      </c>
      <c r="EX84" s="116" t="str">
        <f t="shared" si="27"/>
        <v>35 - 54</v>
      </c>
      <c r="EY84" s="125">
        <f t="shared" si="28"/>
        <v>0.6849315068</v>
      </c>
      <c r="EZ84" s="116">
        <f t="shared" si="29"/>
        <v>1</v>
      </c>
      <c r="FA84" s="125">
        <f t="shared" si="30"/>
        <v>0.4383561644</v>
      </c>
      <c r="FB84" s="116">
        <f t="shared" si="31"/>
        <v>3</v>
      </c>
      <c r="FC84" s="125">
        <f t="shared" si="32"/>
        <v>0.08219178082</v>
      </c>
      <c r="FD84" s="116" t="str">
        <f t="shared" si="33"/>
        <v>No</v>
      </c>
      <c r="FE84" s="125">
        <f t="shared" si="34"/>
        <v>0.7534246575</v>
      </c>
      <c r="FF84" s="116" t="str">
        <f t="shared" ref="FF84:FH84" si="228">BJ84</f>
        <v>No</v>
      </c>
      <c r="FG84" s="116" t="str">
        <f t="shared" si="228"/>
        <v>No</v>
      </c>
      <c r="FH84" s="116" t="str">
        <f t="shared" si="228"/>
        <v>No</v>
      </c>
      <c r="FI84" s="112"/>
      <c r="FJ84" s="116" t="str">
        <f t="shared" si="36"/>
        <v>Recurring</v>
      </c>
      <c r="FK84" s="125">
        <f t="shared" si="37"/>
        <v>0.397260274</v>
      </c>
      <c r="FL84" s="116" t="str">
        <f t="shared" si="38"/>
        <v>B2B</v>
      </c>
      <c r="FM84" s="125">
        <f t="shared" si="39"/>
        <v>0.2465753425</v>
      </c>
      <c r="FN84" s="116" t="str">
        <f t="shared" si="40"/>
        <v>High</v>
      </c>
      <c r="FO84" s="125">
        <f t="shared" si="41"/>
        <v>0.5616438356</v>
      </c>
      <c r="FP84" s="116" t="str">
        <f t="shared" si="42"/>
        <v>High</v>
      </c>
      <c r="FQ84" s="125">
        <f t="shared" si="43"/>
        <v>0.6438356164</v>
      </c>
      <c r="FR84" s="112"/>
      <c r="FS84" s="123">
        <f t="shared" si="44"/>
        <v>5</v>
      </c>
      <c r="FT84" s="123">
        <f t="shared" si="45"/>
        <v>1</v>
      </c>
      <c r="FU84" s="123">
        <f t="shared" si="46"/>
        <v>5</v>
      </c>
      <c r="FV84" s="123">
        <f t="shared" si="47"/>
        <v>2.8</v>
      </c>
      <c r="FW84" s="119">
        <f t="shared" si="48"/>
        <v>13.8</v>
      </c>
      <c r="FX84" s="115">
        <f>1+((FW84-MIN(performance_ratings_sums))*(4)/(MAX(performance_ratings_sums) - MIN(performance_ratings_sums)))</f>
        <v>3.654205607</v>
      </c>
      <c r="FY84" s="116" t="str">
        <f t="shared" si="49"/>
        <v>Pre-Profit</v>
      </c>
      <c r="FZ84" s="126">
        <f t="shared" si="50"/>
        <v>0.4931506849</v>
      </c>
      <c r="GA84" s="112"/>
      <c r="GB84" s="127">
        <f t="shared" si="51"/>
        <v>5</v>
      </c>
      <c r="GC84" s="116" t="str">
        <f t="shared" si="52"/>
        <v>Yes</v>
      </c>
      <c r="GD84" s="126">
        <f t="shared" si="53"/>
        <v>0.2328767123</v>
      </c>
      <c r="GE84" s="126" t="str">
        <f t="shared" si="54"/>
        <v>High</v>
      </c>
      <c r="GF84" s="126">
        <f t="shared" si="55"/>
        <v>0.4520547945</v>
      </c>
      <c r="GG84" s="126" t="str">
        <f t="shared" si="56"/>
        <v>Low</v>
      </c>
      <c r="GH84" s="126">
        <f t="shared" si="57"/>
        <v>0.1917808219</v>
      </c>
      <c r="GI84" s="112"/>
      <c r="GJ84" s="116"/>
      <c r="GK84" s="119">
        <f t="shared" si="58"/>
        <v>15.81675328</v>
      </c>
      <c r="GL84" s="128">
        <f>1+((GK84-MIN(ratings_sums))*(4)/(MAX(ratings_sums) - MIN(ratings_sums)))</f>
        <v>3.645808263</v>
      </c>
    </row>
    <row r="85" ht="15.75" customHeight="1">
      <c r="A85" s="200" t="s">
        <v>702</v>
      </c>
      <c r="B85" s="191">
        <v>1801721.0</v>
      </c>
      <c r="C85" s="180" t="s">
        <v>909</v>
      </c>
      <c r="D85" s="196">
        <v>43886.50833333333</v>
      </c>
      <c r="E85" s="175" t="s">
        <v>640</v>
      </c>
      <c r="F85" s="192" t="s">
        <v>910</v>
      </c>
      <c r="G85" s="192" t="s">
        <v>911</v>
      </c>
      <c r="H85" s="193">
        <v>43885.0</v>
      </c>
      <c r="I85" s="197" t="s">
        <v>912</v>
      </c>
      <c r="J85" s="197" t="s">
        <v>913</v>
      </c>
      <c r="K85" s="175" t="s">
        <v>479</v>
      </c>
      <c r="L85" s="175" t="s">
        <v>349</v>
      </c>
      <c r="M85" s="175" t="s">
        <v>31</v>
      </c>
      <c r="N85" s="175" t="s">
        <v>82</v>
      </c>
      <c r="O85" s="175" t="s">
        <v>35</v>
      </c>
      <c r="P85" s="171"/>
      <c r="Q85" s="175" t="s">
        <v>84</v>
      </c>
      <c r="R85" s="181"/>
      <c r="S85" s="182"/>
      <c r="T85" s="183"/>
      <c r="U85" s="21">
        <v>3200000.0</v>
      </c>
      <c r="V85" s="203">
        <v>0.2</v>
      </c>
      <c r="W85" s="96">
        <f t="shared" si="125"/>
        <v>2560000</v>
      </c>
      <c r="X85" s="98">
        <f t="shared" si="126"/>
        <v>2560000</v>
      </c>
      <c r="Y85" s="99" t="str">
        <f t="shared" si="127"/>
        <v>$2M - $4M</v>
      </c>
      <c r="Z85" s="175" t="s">
        <v>36</v>
      </c>
      <c r="AA85" s="175" t="s">
        <v>87</v>
      </c>
      <c r="AB85" s="175" t="s">
        <v>38</v>
      </c>
      <c r="AC85" s="175" t="s">
        <v>493</v>
      </c>
      <c r="AD85" s="175" t="s">
        <v>39</v>
      </c>
      <c r="AE85" s="175" t="s">
        <v>89</v>
      </c>
      <c r="AF85" s="170" t="s">
        <v>469</v>
      </c>
      <c r="AG85" s="16">
        <v>3.4017E9</v>
      </c>
      <c r="AH85" s="97" t="str">
        <f t="shared" si="128"/>
        <v>$1B-$5B</v>
      </c>
      <c r="AI85" s="16">
        <v>3.4017E7</v>
      </c>
      <c r="AJ85" s="97" t="str">
        <f t="shared" si="129"/>
        <v>$25M-$50M</v>
      </c>
      <c r="AK85" s="199">
        <v>0.176</v>
      </c>
      <c r="AL85" s="88" t="str">
        <f t="shared" si="130"/>
        <v>10%-20%</v>
      </c>
      <c r="AM85" s="191">
        <v>5.0</v>
      </c>
      <c r="AN85" s="175" t="s">
        <v>89</v>
      </c>
      <c r="AO85" s="175" t="s">
        <v>89</v>
      </c>
      <c r="AP85" s="175" t="s">
        <v>40</v>
      </c>
      <c r="AQ85" s="143" t="s">
        <v>89</v>
      </c>
      <c r="AR85" s="143" t="s">
        <v>89</v>
      </c>
      <c r="AS85" s="175" t="s">
        <v>469</v>
      </c>
      <c r="AT85" s="175" t="s">
        <v>469</v>
      </c>
      <c r="AU85" s="175" t="s">
        <v>493</v>
      </c>
      <c r="AV85" s="175" t="s">
        <v>493</v>
      </c>
      <c r="AW85" s="16">
        <v>131164.0</v>
      </c>
      <c r="AX85" s="96" t="str">
        <f t="shared" si="131"/>
        <v>$100K - $500K</v>
      </c>
      <c r="AY85" s="16">
        <v>1246.0</v>
      </c>
      <c r="AZ85" s="21">
        <v>0.0</v>
      </c>
      <c r="BA85" s="103" t="str">
        <f t="shared" si="132"/>
        <v>&lt; $10K</v>
      </c>
      <c r="BB85" s="103">
        <f t="shared" si="133"/>
        <v>1</v>
      </c>
      <c r="BC85" s="103" t="str">
        <f t="shared" si="134"/>
        <v>90% - 100%</v>
      </c>
      <c r="BD85" s="175" t="s">
        <v>107</v>
      </c>
      <c r="BE85" s="171"/>
      <c r="BF85" s="175" t="s">
        <v>469</v>
      </c>
      <c r="BG85" s="170">
        <v>0.0</v>
      </c>
      <c r="BH85" s="191">
        <v>1.0</v>
      </c>
      <c r="BI85" s="90" t="s">
        <v>469</v>
      </c>
      <c r="BJ85" s="175" t="s">
        <v>469</v>
      </c>
      <c r="BK85" s="175" t="s">
        <v>469</v>
      </c>
      <c r="BL85" s="175" t="s">
        <v>469</v>
      </c>
      <c r="BM85" s="191">
        <v>1.0</v>
      </c>
      <c r="BN85" s="191">
        <v>4.0</v>
      </c>
      <c r="BO85" s="191">
        <v>0.0</v>
      </c>
      <c r="BP85" s="191">
        <v>0.0</v>
      </c>
      <c r="BQ85" s="108"/>
      <c r="BR85" s="15">
        <v>2.0</v>
      </c>
      <c r="BS85" s="15">
        <v>2.0</v>
      </c>
      <c r="BT85" s="15">
        <v>0.0</v>
      </c>
      <c r="BU85" s="15">
        <v>51.0</v>
      </c>
      <c r="BV85" s="15" t="s">
        <v>493</v>
      </c>
      <c r="BW85" s="108"/>
      <c r="CC85" s="108"/>
      <c r="CI85" s="108"/>
      <c r="CO85" s="108"/>
      <c r="CU85" s="108"/>
      <c r="DA85" s="108"/>
      <c r="DG85" s="108"/>
      <c r="DM85" s="108"/>
      <c r="DS85" s="108"/>
      <c r="DT85" s="108"/>
      <c r="DU85" s="108"/>
      <c r="DW85" s="109"/>
      <c r="DX85" s="110">
        <f t="shared" si="13"/>
        <v>2</v>
      </c>
      <c r="DY85" s="111">
        <f t="shared" ref="DY85:DZ85" si="229">sum(BS85,BY85,CE85,CK85,CQ85,CW85,DC85,DI85,DO85)</f>
        <v>2</v>
      </c>
      <c r="DZ85" s="111">
        <f t="shared" si="229"/>
        <v>0</v>
      </c>
      <c r="EA85" s="110">
        <f t="shared" si="15"/>
        <v>51</v>
      </c>
      <c r="EB85" s="99" t="str">
        <f t="shared" si="16"/>
        <v>35 - 54</v>
      </c>
      <c r="EC85" s="112"/>
      <c r="ED85" s="113">
        <f t="shared" si="17"/>
        <v>4.6</v>
      </c>
      <c r="EE85" s="114">
        <f>IF(V85 &lt;&gt; "", 1+((V85-MIN(discount_rates))*(4)/(MAX(discount_rates) - MIN(discount_rates))), "")</f>
        <v>3.105263158</v>
      </c>
      <c r="EF85" s="114" t="str">
        <f>IF(Q85="Debt", (1+((S85-MIN(interest_rates))*(4)/(MAX(interest_rates) - MIN(interest_rates)))), "")</f>
        <v/>
      </c>
      <c r="EG85" s="114" t="str">
        <f>IF(OR(Q85="Revenue Share", Q85="Profit Share"), (1+((R85-MIN(return_mutiples))*(4)/(MAX(return_mutiples) - MIN(return_mutiples)))), "")</f>
        <v/>
      </c>
      <c r="EH85" s="115">
        <f t="shared" si="18"/>
        <v>4.6</v>
      </c>
      <c r="EI85" s="116" t="str">
        <f t="shared" si="19"/>
        <v>Convertible Note</v>
      </c>
      <c r="EJ85" s="117">
        <f t="shared" si="20"/>
        <v>0.1232876712</v>
      </c>
      <c r="EK85" s="116" t="str">
        <f t="shared" si="21"/>
        <v>Early</v>
      </c>
      <c r="EL85" s="112"/>
      <c r="EM85" s="118">
        <f t="shared" si="22"/>
        <v>1.3</v>
      </c>
      <c r="EN85" s="118">
        <f t="shared" si="23"/>
        <v>2.3</v>
      </c>
      <c r="EO85" s="119">
        <f t="shared" si="24"/>
        <v>3.6</v>
      </c>
      <c r="EP85" s="115">
        <f>1+((EO85-MIN(market_ratings_sums))*(4)/(MAX(market_ratings_sums) - MIN(market_ratings_sums)))</f>
        <v>1.631578947</v>
      </c>
      <c r="EQ85" s="116" t="str">
        <f t="shared" si="25"/>
        <v>No</v>
      </c>
      <c r="ER85" s="112"/>
      <c r="ES85" s="123">
        <f>1+((DX85-MIN(industry_experiences))*(4)/(MAX(industry_experiences) - MIN(industry_experiences)))</f>
        <v>1.19047619</v>
      </c>
      <c r="ET85" s="123">
        <f>1+((DY85-MIN(previous_startups))*(4)/(MAX(previous_startups) - MIN(previous_startups)))</f>
        <v>1.888888889</v>
      </c>
      <c r="EU85" s="123">
        <f>1+((DZ85-MIN(exits))*(4)/(MAX(exits) - MIN(exits)))</f>
        <v>1</v>
      </c>
      <c r="EV85" s="119">
        <f t="shared" si="26"/>
        <v>4.079365079</v>
      </c>
      <c r="EW85" s="124">
        <f>1+((EV85-MIN(team_ratings_sums))*(4)/(MAX(team_ratings_sums) - MIN(team_ratings_sums)))</f>
        <v>1.591304348</v>
      </c>
      <c r="EX85" s="116" t="str">
        <f t="shared" si="27"/>
        <v>35 - 54</v>
      </c>
      <c r="EY85" s="125">
        <f t="shared" si="28"/>
        <v>0.6849315068</v>
      </c>
      <c r="EZ85" s="116">
        <f t="shared" si="29"/>
        <v>1</v>
      </c>
      <c r="FA85" s="125">
        <f t="shared" si="30"/>
        <v>0.4383561644</v>
      </c>
      <c r="FB85" s="116">
        <f t="shared" si="31"/>
        <v>4</v>
      </c>
      <c r="FC85" s="125">
        <f t="shared" si="32"/>
        <v>0.1369863014</v>
      </c>
      <c r="FD85" s="116" t="str">
        <f t="shared" si="33"/>
        <v>No</v>
      </c>
      <c r="FE85" s="125">
        <f t="shared" si="34"/>
        <v>0.7534246575</v>
      </c>
      <c r="FF85" s="116" t="str">
        <f t="shared" ref="FF85:FH85" si="230">BJ85</f>
        <v>No</v>
      </c>
      <c r="FG85" s="116" t="str">
        <f t="shared" si="230"/>
        <v>No</v>
      </c>
      <c r="FH85" s="116" t="str">
        <f t="shared" si="230"/>
        <v>No</v>
      </c>
      <c r="FI85" s="112"/>
      <c r="FJ85" s="116" t="str">
        <f t="shared" si="36"/>
        <v>Transactional</v>
      </c>
      <c r="FK85" s="125">
        <f t="shared" si="37"/>
        <v>0.602739726</v>
      </c>
      <c r="FL85" s="116" t="str">
        <f t="shared" si="38"/>
        <v>B2C</v>
      </c>
      <c r="FM85" s="125">
        <f t="shared" si="39"/>
        <v>0.397260274</v>
      </c>
      <c r="FN85" s="116" t="str">
        <f t="shared" si="40"/>
        <v>High</v>
      </c>
      <c r="FO85" s="125">
        <f t="shared" si="41"/>
        <v>0.5616438356</v>
      </c>
      <c r="FP85" s="116" t="str">
        <f t="shared" si="42"/>
        <v>Low</v>
      </c>
      <c r="FQ85" s="125">
        <f t="shared" si="43"/>
        <v>0.3561643836</v>
      </c>
      <c r="FR85" s="112"/>
      <c r="FS85" s="123">
        <f t="shared" si="44"/>
        <v>5</v>
      </c>
      <c r="FT85" s="123">
        <f t="shared" si="45"/>
        <v>2.3</v>
      </c>
      <c r="FU85" s="123">
        <f t="shared" si="46"/>
        <v>1</v>
      </c>
      <c r="FV85" s="123">
        <f t="shared" si="47"/>
        <v>5</v>
      </c>
      <c r="FW85" s="119">
        <f t="shared" si="48"/>
        <v>13.3</v>
      </c>
      <c r="FX85" s="115">
        <f>1+((FW85-MIN(performance_ratings_sums))*(4)/(MAX(performance_ratings_sums) - MIN(performance_ratings_sums)))</f>
        <v>3.46728972</v>
      </c>
      <c r="FY85" s="116" t="str">
        <f t="shared" si="49"/>
        <v>Pre-Profit</v>
      </c>
      <c r="FZ85" s="126">
        <f t="shared" si="50"/>
        <v>0.4931506849</v>
      </c>
      <c r="GA85" s="112"/>
      <c r="GB85" s="127">
        <f t="shared" si="51"/>
        <v>1</v>
      </c>
      <c r="GC85" s="116" t="str">
        <f t="shared" si="52"/>
        <v>No</v>
      </c>
      <c r="GD85" s="126">
        <f t="shared" si="53"/>
        <v>0.7671232877</v>
      </c>
      <c r="GE85" s="126" t="str">
        <f t="shared" si="54"/>
        <v>Low</v>
      </c>
      <c r="GF85" s="126">
        <f t="shared" si="55"/>
        <v>0.5479452055</v>
      </c>
      <c r="GG85" s="126" t="str">
        <f t="shared" si="56"/>
        <v>Low</v>
      </c>
      <c r="GH85" s="126">
        <f t="shared" si="57"/>
        <v>0.1917808219</v>
      </c>
      <c r="GI85" s="112"/>
      <c r="GJ85" s="116"/>
      <c r="GK85" s="119">
        <f t="shared" si="58"/>
        <v>12.29017301</v>
      </c>
      <c r="GL85" s="128">
        <f>1+((GK85-MIN(ratings_sums))*(4)/(MAX(ratings_sums) - MIN(ratings_sums)))</f>
        <v>2.563712489</v>
      </c>
    </row>
    <row r="86" ht="15.75" customHeight="1">
      <c r="A86" s="200" t="s">
        <v>702</v>
      </c>
      <c r="B86" s="191">
        <v>1777476.0</v>
      </c>
      <c r="C86" s="180" t="s">
        <v>914</v>
      </c>
      <c r="D86" s="204">
        <v>43886.5125</v>
      </c>
      <c r="E86" s="175" t="s">
        <v>374</v>
      </c>
      <c r="F86" s="192" t="s">
        <v>915</v>
      </c>
      <c r="G86" s="192" t="s">
        <v>916</v>
      </c>
      <c r="H86" s="193">
        <v>43879.0</v>
      </c>
      <c r="I86" s="180" t="s">
        <v>917</v>
      </c>
      <c r="J86" s="180" t="s">
        <v>918</v>
      </c>
      <c r="K86" s="175" t="s">
        <v>529</v>
      </c>
      <c r="L86" s="175" t="s">
        <v>390</v>
      </c>
      <c r="M86" s="175" t="s">
        <v>31</v>
      </c>
      <c r="N86" s="175" t="s">
        <v>119</v>
      </c>
      <c r="O86" s="175" t="s">
        <v>35</v>
      </c>
      <c r="P86" s="170" t="s">
        <v>104</v>
      </c>
      <c r="Q86" s="175" t="s">
        <v>84</v>
      </c>
      <c r="R86" s="181"/>
      <c r="S86" s="182"/>
      <c r="T86" s="183"/>
      <c r="U86" s="21">
        <v>4.0E7</v>
      </c>
      <c r="V86" s="203">
        <v>0.2</v>
      </c>
      <c r="W86" s="96">
        <f t="shared" si="125"/>
        <v>32000000</v>
      </c>
      <c r="X86" s="98">
        <f t="shared" si="126"/>
        <v>32000000</v>
      </c>
      <c r="Y86" s="99" t="str">
        <f t="shared" si="127"/>
        <v>$30M - $32M</v>
      </c>
      <c r="Z86" s="175" t="s">
        <v>36</v>
      </c>
      <c r="AA86" s="175" t="s">
        <v>123</v>
      </c>
      <c r="AB86" s="175" t="s">
        <v>38</v>
      </c>
      <c r="AC86" s="175" t="s">
        <v>493</v>
      </c>
      <c r="AD86" s="175" t="s">
        <v>89</v>
      </c>
      <c r="AE86" s="175" t="s">
        <v>39</v>
      </c>
      <c r="AF86" s="170" t="s">
        <v>469</v>
      </c>
      <c r="AG86" s="16">
        <v>8.0E11</v>
      </c>
      <c r="AH86" s="97" t="str">
        <f t="shared" si="128"/>
        <v>$500B-$1T</v>
      </c>
      <c r="AI86" s="16">
        <v>5.0E10</v>
      </c>
      <c r="AJ86" s="97" t="str">
        <f t="shared" si="129"/>
        <v>$50B-$100B</v>
      </c>
      <c r="AK86" s="199">
        <v>0.098</v>
      </c>
      <c r="AL86" s="88" t="str">
        <f t="shared" si="130"/>
        <v>0%-10%</v>
      </c>
      <c r="AM86" s="191">
        <v>1000.0</v>
      </c>
      <c r="AN86" s="175" t="s">
        <v>89</v>
      </c>
      <c r="AO86" s="175" t="s">
        <v>89</v>
      </c>
      <c r="AP86" s="175" t="s">
        <v>40</v>
      </c>
      <c r="AQ86" s="143" t="s">
        <v>89</v>
      </c>
      <c r="AR86" s="143" t="s">
        <v>39</v>
      </c>
      <c r="AS86" s="175" t="s">
        <v>469</v>
      </c>
      <c r="AT86" s="175" t="s">
        <v>469</v>
      </c>
      <c r="AU86" s="175" t="s">
        <v>493</v>
      </c>
      <c r="AV86" s="175" t="s">
        <v>493</v>
      </c>
      <c r="AW86" s="16">
        <v>1.8442226E7</v>
      </c>
      <c r="AX86" s="96" t="str">
        <f t="shared" si="131"/>
        <v>&gt; $5M</v>
      </c>
      <c r="AY86" s="16">
        <v>195878.0</v>
      </c>
      <c r="AZ86" s="16">
        <v>3000000.0</v>
      </c>
      <c r="BA86" s="103" t="str">
        <f t="shared" si="132"/>
        <v>$2M - $3M</v>
      </c>
      <c r="BB86" s="103">
        <f t="shared" si="133"/>
        <v>0.06529266667</v>
      </c>
      <c r="BC86" s="103" t="str">
        <f t="shared" si="134"/>
        <v>&lt; 10%</v>
      </c>
      <c r="BD86" s="175" t="s">
        <v>107</v>
      </c>
      <c r="BE86" s="171"/>
      <c r="BF86" s="175" t="s">
        <v>469</v>
      </c>
      <c r="BG86" s="191">
        <v>0.0</v>
      </c>
      <c r="BH86" s="191">
        <v>3.0</v>
      </c>
      <c r="BI86" s="170" t="s">
        <v>493</v>
      </c>
      <c r="BJ86" s="175" t="s">
        <v>469</v>
      </c>
      <c r="BK86" s="175" t="s">
        <v>493</v>
      </c>
      <c r="BL86" s="175" t="s">
        <v>469</v>
      </c>
      <c r="BM86" s="191">
        <v>2.0</v>
      </c>
      <c r="BN86" s="191">
        <v>79.0</v>
      </c>
      <c r="BO86" s="191">
        <v>0.0</v>
      </c>
      <c r="BP86" s="191">
        <v>0.0</v>
      </c>
      <c r="BQ86" s="108"/>
      <c r="BR86" s="15">
        <v>20.0</v>
      </c>
      <c r="BS86" s="15">
        <v>3.0</v>
      </c>
      <c r="BT86" s="15">
        <v>1.0</v>
      </c>
      <c r="BU86" s="15">
        <v>42.0</v>
      </c>
      <c r="BV86" s="15" t="s">
        <v>469</v>
      </c>
      <c r="BW86" s="108"/>
      <c r="BX86" s="15">
        <v>19.0</v>
      </c>
      <c r="BY86" s="15">
        <v>0.0</v>
      </c>
      <c r="BZ86" s="15">
        <v>0.0</v>
      </c>
      <c r="CA86" s="15">
        <v>41.0</v>
      </c>
      <c r="CB86" s="15" t="s">
        <v>469</v>
      </c>
      <c r="CC86" s="108"/>
      <c r="CD86" s="15">
        <v>8.0</v>
      </c>
      <c r="CE86" s="15">
        <v>0.0</v>
      </c>
      <c r="CF86" s="15">
        <v>0.0</v>
      </c>
      <c r="CG86" s="15">
        <v>43.0</v>
      </c>
      <c r="CH86" s="15" t="s">
        <v>493</v>
      </c>
      <c r="CI86" s="108"/>
      <c r="CO86" s="108"/>
      <c r="CU86" s="108"/>
      <c r="DA86" s="108"/>
      <c r="DG86" s="108"/>
      <c r="DM86" s="108"/>
      <c r="DS86" s="108"/>
      <c r="DT86" s="108"/>
      <c r="DU86" s="108"/>
      <c r="DW86" s="109"/>
      <c r="DX86" s="110">
        <f t="shared" si="13"/>
        <v>15.66666667</v>
      </c>
      <c r="DY86" s="111">
        <f t="shared" ref="DY86:DZ86" si="231">sum(BS86,BY86,CE86,CK86,CQ86,CW86,DC86,DI86,DO86)</f>
        <v>3</v>
      </c>
      <c r="DZ86" s="111">
        <f t="shared" si="231"/>
        <v>1</v>
      </c>
      <c r="EA86" s="110">
        <f t="shared" si="15"/>
        <v>42</v>
      </c>
      <c r="EB86" s="99" t="str">
        <f t="shared" si="16"/>
        <v>35 - 54</v>
      </c>
      <c r="EC86" s="112"/>
      <c r="ED86" s="113">
        <f t="shared" si="17"/>
        <v>2</v>
      </c>
      <c r="EE86" s="114">
        <f>IF(V86 &lt;&gt; "", 1+((V86-MIN(discount_rates))*(4)/(MAX(discount_rates) - MIN(discount_rates))), "")</f>
        <v>3.105263158</v>
      </c>
      <c r="EF86" s="114" t="str">
        <f>IF(Q86="Debt", (1+((S86-MIN(interest_rates))*(4)/(MAX(interest_rates) - MIN(interest_rates)))), "")</f>
        <v/>
      </c>
      <c r="EG86" s="114" t="str">
        <f>IF(OR(Q86="Revenue Share", Q86="Profit Share"), (1+((R86-MIN(return_mutiples))*(4)/(MAX(return_mutiples) - MIN(return_mutiples)))), "")</f>
        <v/>
      </c>
      <c r="EH86" s="115">
        <f t="shared" si="18"/>
        <v>2</v>
      </c>
      <c r="EI86" s="116" t="str">
        <f t="shared" si="19"/>
        <v>Convertible Note</v>
      </c>
      <c r="EJ86" s="117">
        <f t="shared" si="20"/>
        <v>0.1232876712</v>
      </c>
      <c r="EK86" s="116" t="str">
        <f t="shared" si="21"/>
        <v>Early</v>
      </c>
      <c r="EL86" s="112"/>
      <c r="EM86" s="118">
        <f t="shared" si="22"/>
        <v>3.9</v>
      </c>
      <c r="EN86" s="118">
        <f t="shared" si="23"/>
        <v>1.7</v>
      </c>
      <c r="EO86" s="119">
        <f t="shared" si="24"/>
        <v>5.6</v>
      </c>
      <c r="EP86" s="115">
        <f>1+((EO86-MIN(market_ratings_sums))*(4)/(MAX(market_ratings_sums) - MIN(market_ratings_sums)))</f>
        <v>3.035087719</v>
      </c>
      <c r="EQ86" s="116" t="str">
        <f t="shared" si="25"/>
        <v>No</v>
      </c>
      <c r="ER86" s="112"/>
      <c r="ES86" s="123">
        <f>1+((DX86-MIN(industry_experiences))*(4)/(MAX(industry_experiences) - MIN(industry_experiences)))</f>
        <v>2.492063492</v>
      </c>
      <c r="ET86" s="123">
        <f>1+((DY86-MIN(previous_startups))*(4)/(MAX(previous_startups) - MIN(previous_startups)))</f>
        <v>2.333333333</v>
      </c>
      <c r="EU86" s="123">
        <f>1+((DZ86-MIN(exits))*(4)/(MAX(exits) - MIN(exits)))</f>
        <v>2</v>
      </c>
      <c r="EV86" s="119">
        <f t="shared" si="26"/>
        <v>6.825396825</v>
      </c>
      <c r="EW86" s="124">
        <f>1+((EV86-MIN(team_ratings_sums))*(4)/(MAX(team_ratings_sums) - MIN(team_ratings_sums)))</f>
        <v>3.095652174</v>
      </c>
      <c r="EX86" s="116" t="str">
        <f t="shared" si="27"/>
        <v>35 - 54</v>
      </c>
      <c r="EY86" s="125">
        <f t="shared" si="28"/>
        <v>0.6849315068</v>
      </c>
      <c r="EZ86" s="116">
        <f t="shared" si="29"/>
        <v>3</v>
      </c>
      <c r="FA86" s="125">
        <f t="shared" si="30"/>
        <v>0.05479452055</v>
      </c>
      <c r="FB86" s="116">
        <f t="shared" si="31"/>
        <v>79</v>
      </c>
      <c r="FC86" s="125">
        <f t="shared" si="32"/>
        <v>0</v>
      </c>
      <c r="FD86" s="116" t="str">
        <f t="shared" si="33"/>
        <v>Yes</v>
      </c>
      <c r="FE86" s="125">
        <f t="shared" si="34"/>
        <v>0.2465753425</v>
      </c>
      <c r="FF86" s="116" t="str">
        <f t="shared" ref="FF86:FH86" si="232">BJ86</f>
        <v>No</v>
      </c>
      <c r="FG86" s="116" t="str">
        <f t="shared" si="232"/>
        <v>Yes</v>
      </c>
      <c r="FH86" s="116" t="str">
        <f t="shared" si="232"/>
        <v>No</v>
      </c>
      <c r="FI86" s="112"/>
      <c r="FJ86" s="116" t="str">
        <f t="shared" si="36"/>
        <v>Transactional</v>
      </c>
      <c r="FK86" s="125">
        <f t="shared" si="37"/>
        <v>0.602739726</v>
      </c>
      <c r="FL86" s="116" t="str">
        <f t="shared" si="38"/>
        <v>B2B/B2C</v>
      </c>
      <c r="FM86" s="125">
        <f t="shared" si="39"/>
        <v>0.3287671233</v>
      </c>
      <c r="FN86" s="116" t="str">
        <f t="shared" si="40"/>
        <v>Low</v>
      </c>
      <c r="FO86" s="125">
        <f t="shared" si="41"/>
        <v>0.4383561644</v>
      </c>
      <c r="FP86" s="116" t="str">
        <f t="shared" si="42"/>
        <v>High</v>
      </c>
      <c r="FQ86" s="125">
        <f t="shared" si="43"/>
        <v>0.6438356164</v>
      </c>
      <c r="FR86" s="112"/>
      <c r="FS86" s="123">
        <f t="shared" si="44"/>
        <v>5</v>
      </c>
      <c r="FT86" s="123">
        <f t="shared" si="45"/>
        <v>5</v>
      </c>
      <c r="FU86" s="123">
        <f t="shared" si="46"/>
        <v>5</v>
      </c>
      <c r="FV86" s="123">
        <f t="shared" si="47"/>
        <v>2.3</v>
      </c>
      <c r="FW86" s="119">
        <f t="shared" si="48"/>
        <v>17.3</v>
      </c>
      <c r="FX86" s="115">
        <f>1+((FW86-MIN(performance_ratings_sums))*(4)/(MAX(performance_ratings_sums) - MIN(performance_ratings_sums)))</f>
        <v>4.962616822</v>
      </c>
      <c r="FY86" s="116" t="str">
        <f t="shared" si="49"/>
        <v>Pre-Profit</v>
      </c>
      <c r="FZ86" s="126">
        <f t="shared" si="50"/>
        <v>0.4931506849</v>
      </c>
      <c r="GA86" s="112"/>
      <c r="GB86" s="127">
        <f t="shared" si="51"/>
        <v>1</v>
      </c>
      <c r="GC86" s="116" t="str">
        <f t="shared" si="52"/>
        <v>No</v>
      </c>
      <c r="GD86" s="126">
        <f t="shared" si="53"/>
        <v>0.7671232877</v>
      </c>
      <c r="GE86" s="126" t="str">
        <f t="shared" si="54"/>
        <v>Low</v>
      </c>
      <c r="GF86" s="126">
        <f t="shared" si="55"/>
        <v>0.5479452055</v>
      </c>
      <c r="GG86" s="126" t="str">
        <f t="shared" si="56"/>
        <v>High</v>
      </c>
      <c r="GH86" s="126">
        <f t="shared" si="57"/>
        <v>0.8082191781</v>
      </c>
      <c r="GI86" s="112"/>
      <c r="GJ86" s="116"/>
      <c r="GK86" s="119">
        <f t="shared" si="58"/>
        <v>14.09335672</v>
      </c>
      <c r="GL86" s="128">
        <f>1+((GK86-MIN(ratings_sums))*(4)/(MAX(ratings_sums) - MIN(ratings_sums)))</f>
        <v>3.117001317</v>
      </c>
    </row>
    <row r="87" ht="15.75" customHeight="1">
      <c r="A87" s="200" t="s">
        <v>702</v>
      </c>
      <c r="B87" s="191">
        <v>1802465.0</v>
      </c>
      <c r="C87" s="180" t="s">
        <v>919</v>
      </c>
      <c r="D87" s="204">
        <v>43887.42152777778</v>
      </c>
      <c r="E87" s="175" t="s">
        <v>369</v>
      </c>
      <c r="F87" s="192" t="s">
        <v>920</v>
      </c>
      <c r="G87" s="192" t="s">
        <v>921</v>
      </c>
      <c r="H87" s="193">
        <v>43886.0</v>
      </c>
      <c r="I87" s="180" t="s">
        <v>922</v>
      </c>
      <c r="J87" s="180" t="s">
        <v>919</v>
      </c>
      <c r="K87" s="175" t="s">
        <v>449</v>
      </c>
      <c r="L87" s="175" t="s">
        <v>390</v>
      </c>
      <c r="M87" s="175" t="s">
        <v>31</v>
      </c>
      <c r="N87" s="175" t="s">
        <v>82</v>
      </c>
      <c r="O87" s="175" t="s">
        <v>35</v>
      </c>
      <c r="P87" s="171"/>
      <c r="Q87" s="175" t="s">
        <v>195</v>
      </c>
      <c r="R87" s="181"/>
      <c r="S87" s="182"/>
      <c r="T87" s="183"/>
      <c r="U87" s="21">
        <v>5000000.0</v>
      </c>
      <c r="V87" s="203">
        <v>0.2</v>
      </c>
      <c r="W87" s="96">
        <f t="shared" si="125"/>
        <v>4000000</v>
      </c>
      <c r="X87" s="98">
        <f t="shared" si="126"/>
        <v>4000000</v>
      </c>
      <c r="Y87" s="99" t="str">
        <f t="shared" si="127"/>
        <v>$2M - $4M</v>
      </c>
      <c r="Z87" s="175" t="s">
        <v>36</v>
      </c>
      <c r="AA87" s="175" t="s">
        <v>123</v>
      </c>
      <c r="AB87" s="175" t="s">
        <v>38</v>
      </c>
      <c r="AC87" s="175" t="s">
        <v>469</v>
      </c>
      <c r="AD87" s="175" t="s">
        <v>39</v>
      </c>
      <c r="AE87" s="175" t="s">
        <v>89</v>
      </c>
      <c r="AF87" s="170" t="s">
        <v>469</v>
      </c>
      <c r="AG87" s="16">
        <v>2.22E10</v>
      </c>
      <c r="AH87" s="97" t="str">
        <f t="shared" si="128"/>
        <v>$10B-$25B</v>
      </c>
      <c r="AI87" s="16">
        <v>2.22E10</v>
      </c>
      <c r="AJ87" s="97" t="str">
        <f t="shared" si="129"/>
        <v>$10B-$25B</v>
      </c>
      <c r="AK87" s="199">
        <v>0.017</v>
      </c>
      <c r="AL87" s="88" t="str">
        <f t="shared" si="130"/>
        <v>0%-10%</v>
      </c>
      <c r="AM87" s="191">
        <v>100.0</v>
      </c>
      <c r="AN87" s="175" t="s">
        <v>89</v>
      </c>
      <c r="AO87" s="175" t="s">
        <v>89</v>
      </c>
      <c r="AP87" s="175" t="s">
        <v>40</v>
      </c>
      <c r="AQ87" s="143" t="s">
        <v>89</v>
      </c>
      <c r="AR87" s="143" t="s">
        <v>39</v>
      </c>
      <c r="AS87" s="175" t="s">
        <v>469</v>
      </c>
      <c r="AT87" s="175" t="s">
        <v>469</v>
      </c>
      <c r="AU87" s="175" t="s">
        <v>493</v>
      </c>
      <c r="AV87" s="175" t="s">
        <v>493</v>
      </c>
      <c r="AW87" s="16">
        <v>191851.0</v>
      </c>
      <c r="AX87" s="96" t="str">
        <f t="shared" si="131"/>
        <v>$100K - $500K</v>
      </c>
      <c r="AY87" s="16">
        <v>2225.0</v>
      </c>
      <c r="AZ87" s="16">
        <v>35000.0</v>
      </c>
      <c r="BA87" s="103" t="str">
        <f t="shared" si="132"/>
        <v>$10K - $50K</v>
      </c>
      <c r="BB87" s="103">
        <f t="shared" si="133"/>
        <v>0.06357142857</v>
      </c>
      <c r="BC87" s="103" t="str">
        <f t="shared" si="134"/>
        <v>&lt; 10%</v>
      </c>
      <c r="BD87" s="175" t="s">
        <v>107</v>
      </c>
      <c r="BE87" s="171"/>
      <c r="BF87" s="175" t="s">
        <v>469</v>
      </c>
      <c r="BG87" s="170">
        <v>0.0</v>
      </c>
      <c r="BH87" s="191">
        <v>1.0</v>
      </c>
      <c r="BI87" s="90" t="s">
        <v>469</v>
      </c>
      <c r="BJ87" s="175" t="s">
        <v>493</v>
      </c>
      <c r="BK87" s="175" t="s">
        <v>493</v>
      </c>
      <c r="BL87" s="175" t="s">
        <v>469</v>
      </c>
      <c r="BM87" s="191">
        <v>1.0</v>
      </c>
      <c r="BN87" s="191">
        <v>2.0</v>
      </c>
      <c r="BO87" s="191">
        <v>0.0</v>
      </c>
      <c r="BP87" s="191">
        <v>0.0</v>
      </c>
      <c r="BQ87" s="108"/>
      <c r="BR87" s="15">
        <v>3.0</v>
      </c>
      <c r="BS87" s="15">
        <v>0.0</v>
      </c>
      <c r="BT87" s="15">
        <v>0.0</v>
      </c>
      <c r="BU87" s="15">
        <v>18.0</v>
      </c>
      <c r="BV87" s="15" t="s">
        <v>469</v>
      </c>
      <c r="BW87" s="108"/>
      <c r="CC87" s="108"/>
      <c r="CI87" s="108"/>
      <c r="CO87" s="108"/>
      <c r="CU87" s="108"/>
      <c r="DA87" s="108"/>
      <c r="DG87" s="108"/>
      <c r="DM87" s="108"/>
      <c r="DS87" s="108"/>
      <c r="DT87" s="108"/>
      <c r="DU87" s="108"/>
      <c r="DW87" s="109"/>
      <c r="DX87" s="110">
        <f t="shared" si="13"/>
        <v>3</v>
      </c>
      <c r="DY87" s="111">
        <f t="shared" ref="DY87:DZ87" si="233">sum(BS87,BY87,CE87,CK87,CQ87,CW87,DC87,DI87,DO87)</f>
        <v>0</v>
      </c>
      <c r="DZ87" s="111">
        <f t="shared" si="233"/>
        <v>0</v>
      </c>
      <c r="EA87" s="110">
        <f t="shared" si="15"/>
        <v>18</v>
      </c>
      <c r="EB87" s="99" t="str">
        <f t="shared" si="16"/>
        <v>20 - 34</v>
      </c>
      <c r="EC87" s="112"/>
      <c r="ED87" s="113">
        <f t="shared" si="17"/>
        <v>4.6</v>
      </c>
      <c r="EE87" s="114">
        <f>IF(V87 &lt;&gt; "", 1+((V87-MIN(discount_rates))*(4)/(MAX(discount_rates) - MIN(discount_rates))), "")</f>
        <v>3.105263158</v>
      </c>
      <c r="EF87" s="114" t="str">
        <f>IF(Q87="Debt", (1+((S87-MIN(interest_rates))*(4)/(MAX(interest_rates) - MIN(interest_rates)))), "")</f>
        <v/>
      </c>
      <c r="EG87" s="114" t="str">
        <f>IF(OR(Q87="Revenue Share", Q87="Profit Share"), (1+((R87-MIN(return_mutiples))*(4)/(MAX(return_mutiples) - MIN(return_mutiples)))), "")</f>
        <v/>
      </c>
      <c r="EH87" s="115">
        <f t="shared" si="18"/>
        <v>4.6</v>
      </c>
      <c r="EI87" s="116" t="str">
        <f t="shared" si="19"/>
        <v>SAFE</v>
      </c>
      <c r="EJ87" s="117">
        <f t="shared" si="20"/>
        <v>0.3561643836</v>
      </c>
      <c r="EK87" s="116" t="str">
        <f t="shared" si="21"/>
        <v>Early</v>
      </c>
      <c r="EL87" s="112"/>
      <c r="EM87" s="118">
        <f t="shared" si="22"/>
        <v>3.3</v>
      </c>
      <c r="EN87" s="118">
        <f t="shared" si="23"/>
        <v>1.7</v>
      </c>
      <c r="EO87" s="119">
        <f t="shared" si="24"/>
        <v>5</v>
      </c>
      <c r="EP87" s="115">
        <f>1+((EO87-MIN(market_ratings_sums))*(4)/(MAX(market_ratings_sums) - MIN(market_ratings_sums)))</f>
        <v>2.614035088</v>
      </c>
      <c r="EQ87" s="116" t="str">
        <f t="shared" si="25"/>
        <v>No</v>
      </c>
      <c r="ER87" s="112"/>
      <c r="ES87" s="123">
        <f>1+((DX87-MIN(industry_experiences))*(4)/(MAX(industry_experiences) - MIN(industry_experiences)))</f>
        <v>1.285714286</v>
      </c>
      <c r="ET87" s="123">
        <f>1+((DY87-MIN(previous_startups))*(4)/(MAX(previous_startups) - MIN(previous_startups)))</f>
        <v>1</v>
      </c>
      <c r="EU87" s="123">
        <f>1+((DZ87-MIN(exits))*(4)/(MAX(exits) - MIN(exits)))</f>
        <v>1</v>
      </c>
      <c r="EV87" s="119">
        <f t="shared" si="26"/>
        <v>3.285714286</v>
      </c>
      <c r="EW87" s="124">
        <f>1+((EV87-MIN(team_ratings_sums))*(4)/(MAX(team_ratings_sums) - MIN(team_ratings_sums)))</f>
        <v>1.156521739</v>
      </c>
      <c r="EX87" s="116" t="str">
        <f t="shared" si="27"/>
        <v>20 - 34</v>
      </c>
      <c r="EY87" s="125">
        <f t="shared" si="28"/>
        <v>0.2054794521</v>
      </c>
      <c r="EZ87" s="116">
        <f t="shared" si="29"/>
        <v>1</v>
      </c>
      <c r="FA87" s="125">
        <f t="shared" si="30"/>
        <v>0.4383561644</v>
      </c>
      <c r="FB87" s="116">
        <f t="shared" si="31"/>
        <v>2</v>
      </c>
      <c r="FC87" s="125">
        <f t="shared" si="32"/>
        <v>0.1369863014</v>
      </c>
      <c r="FD87" s="116" t="str">
        <f t="shared" si="33"/>
        <v>No</v>
      </c>
      <c r="FE87" s="125">
        <f t="shared" si="34"/>
        <v>0.7534246575</v>
      </c>
      <c r="FF87" s="116" t="str">
        <f t="shared" ref="FF87:FH87" si="234">BJ87</f>
        <v>Yes</v>
      </c>
      <c r="FG87" s="116" t="str">
        <f t="shared" si="234"/>
        <v>Yes</v>
      </c>
      <c r="FH87" s="116" t="str">
        <f t="shared" si="234"/>
        <v>No</v>
      </c>
      <c r="FI87" s="112"/>
      <c r="FJ87" s="116" t="str">
        <f t="shared" si="36"/>
        <v>Transactional</v>
      </c>
      <c r="FK87" s="125">
        <f t="shared" si="37"/>
        <v>0.602739726</v>
      </c>
      <c r="FL87" s="116" t="str">
        <f t="shared" si="38"/>
        <v>B2B/B2C</v>
      </c>
      <c r="FM87" s="125">
        <f t="shared" si="39"/>
        <v>0.3287671233</v>
      </c>
      <c r="FN87" s="116" t="str">
        <f t="shared" si="40"/>
        <v>High</v>
      </c>
      <c r="FO87" s="125">
        <f t="shared" si="41"/>
        <v>0.5616438356</v>
      </c>
      <c r="FP87" s="116" t="str">
        <f t="shared" si="42"/>
        <v>Low</v>
      </c>
      <c r="FQ87" s="125">
        <f t="shared" si="43"/>
        <v>0.3561643836</v>
      </c>
      <c r="FR87" s="112"/>
      <c r="FS87" s="123">
        <f t="shared" si="44"/>
        <v>5</v>
      </c>
      <c r="FT87" s="123">
        <f t="shared" si="45"/>
        <v>2.3</v>
      </c>
      <c r="FU87" s="123">
        <f t="shared" si="46"/>
        <v>5</v>
      </c>
      <c r="FV87" s="123">
        <f t="shared" si="47"/>
        <v>4.6</v>
      </c>
      <c r="FW87" s="119">
        <f t="shared" si="48"/>
        <v>16.9</v>
      </c>
      <c r="FX87" s="115">
        <f>1+((FW87-MIN(performance_ratings_sums))*(4)/(MAX(performance_ratings_sums) - MIN(performance_ratings_sums)))</f>
        <v>4.813084112</v>
      </c>
      <c r="FY87" s="116" t="str">
        <f t="shared" si="49"/>
        <v>Pre-Profit</v>
      </c>
      <c r="FZ87" s="126">
        <f t="shared" si="50"/>
        <v>0.4931506849</v>
      </c>
      <c r="GA87" s="112"/>
      <c r="GB87" s="127">
        <f t="shared" si="51"/>
        <v>1</v>
      </c>
      <c r="GC87" s="116" t="str">
        <f t="shared" si="52"/>
        <v>No</v>
      </c>
      <c r="GD87" s="126">
        <f t="shared" si="53"/>
        <v>0.7671232877</v>
      </c>
      <c r="GE87" s="126" t="str">
        <f t="shared" si="54"/>
        <v>Low</v>
      </c>
      <c r="GF87" s="126">
        <f t="shared" si="55"/>
        <v>0.5479452055</v>
      </c>
      <c r="GG87" s="126" t="str">
        <f t="shared" si="56"/>
        <v>High</v>
      </c>
      <c r="GH87" s="126">
        <f t="shared" si="57"/>
        <v>0.8082191781</v>
      </c>
      <c r="GI87" s="112"/>
      <c r="GJ87" s="116"/>
      <c r="GK87" s="119">
        <f t="shared" si="58"/>
        <v>14.18364094</v>
      </c>
      <c r="GL87" s="128">
        <f>1+((GK87-MIN(ratings_sums))*(4)/(MAX(ratings_sums) - MIN(ratings_sums)))</f>
        <v>3.144704125</v>
      </c>
    </row>
    <row r="88" ht="15.75" customHeight="1">
      <c r="A88" s="176" t="s">
        <v>702</v>
      </c>
      <c r="B88" s="169">
        <v>1795715.0</v>
      </c>
      <c r="C88" s="177" t="s">
        <v>923</v>
      </c>
      <c r="D88" s="189">
        <v>43887.42638888889</v>
      </c>
      <c r="E88" s="170" t="s">
        <v>381</v>
      </c>
      <c r="F88" s="150" t="s">
        <v>924</v>
      </c>
      <c r="G88" s="150" t="s">
        <v>925</v>
      </c>
      <c r="H88" s="190">
        <v>43885.0</v>
      </c>
      <c r="I88" s="180" t="s">
        <v>926</v>
      </c>
      <c r="J88" s="180" t="s">
        <v>923</v>
      </c>
      <c r="K88" s="170" t="s">
        <v>354</v>
      </c>
      <c r="L88" s="170" t="s">
        <v>379</v>
      </c>
      <c r="M88" s="170" t="s">
        <v>31</v>
      </c>
      <c r="N88" s="170" t="s">
        <v>82</v>
      </c>
      <c r="O88" s="170" t="s">
        <v>35</v>
      </c>
      <c r="P88" s="171"/>
      <c r="Q88" s="170" t="s">
        <v>121</v>
      </c>
      <c r="R88" s="181"/>
      <c r="S88" s="182"/>
      <c r="T88" s="21">
        <v>8000000.0</v>
      </c>
      <c r="U88" s="184"/>
      <c r="V88" s="185"/>
      <c r="W88" s="96" t="str">
        <f t="shared" si="125"/>
        <v/>
      </c>
      <c r="X88" s="98">
        <f t="shared" si="126"/>
        <v>8000000</v>
      </c>
      <c r="Y88" s="99" t="str">
        <f t="shared" si="127"/>
        <v>$6M - $8M</v>
      </c>
      <c r="Z88" s="170" t="s">
        <v>36</v>
      </c>
      <c r="AA88" s="170" t="s">
        <v>87</v>
      </c>
      <c r="AB88" s="170" t="s">
        <v>38</v>
      </c>
      <c r="AC88" s="170" t="s">
        <v>493</v>
      </c>
      <c r="AD88" s="170" t="s">
        <v>39</v>
      </c>
      <c r="AE88" s="170" t="s">
        <v>89</v>
      </c>
      <c r="AF88" s="170" t="s">
        <v>469</v>
      </c>
      <c r="AG88" s="184">
        <v>5.537E8</v>
      </c>
      <c r="AH88" s="97" t="str">
        <f t="shared" si="128"/>
        <v>$500M-$1B</v>
      </c>
      <c r="AI88" s="184">
        <v>1.84566667E8</v>
      </c>
      <c r="AJ88" s="97" t="str">
        <f t="shared" si="129"/>
        <v>$100M-$250M</v>
      </c>
      <c r="AK88" s="186">
        <v>0.335</v>
      </c>
      <c r="AL88" s="88" t="str">
        <f t="shared" si="130"/>
        <v>30%-40%</v>
      </c>
      <c r="AM88" s="169">
        <v>100.0</v>
      </c>
      <c r="AN88" s="170" t="s">
        <v>89</v>
      </c>
      <c r="AO88" s="170" t="s">
        <v>89</v>
      </c>
      <c r="AP88" s="170" t="s">
        <v>40</v>
      </c>
      <c r="AQ88" s="100" t="s">
        <v>89</v>
      </c>
      <c r="AR88" s="100" t="s">
        <v>39</v>
      </c>
      <c r="AS88" s="170" t="s">
        <v>469</v>
      </c>
      <c r="AT88" s="170" t="s">
        <v>469</v>
      </c>
      <c r="AU88" s="170" t="s">
        <v>469</v>
      </c>
      <c r="AV88" s="170" t="s">
        <v>469</v>
      </c>
      <c r="AW88" s="184">
        <v>0.0</v>
      </c>
      <c r="AX88" s="96" t="str">
        <f t="shared" si="131"/>
        <v>&lt; $10K</v>
      </c>
      <c r="AY88" s="184">
        <v>0.0</v>
      </c>
      <c r="AZ88" s="184">
        <v>0.0</v>
      </c>
      <c r="BA88" s="103" t="str">
        <f t="shared" si="132"/>
        <v>&lt; $10K</v>
      </c>
      <c r="BB88" s="103">
        <f t="shared" si="133"/>
        <v>1</v>
      </c>
      <c r="BC88" s="103" t="str">
        <f t="shared" si="134"/>
        <v>90% - 100%</v>
      </c>
      <c r="BD88" s="170" t="s">
        <v>91</v>
      </c>
      <c r="BE88" s="171"/>
      <c r="BF88" s="170" t="s">
        <v>493</v>
      </c>
      <c r="BG88" s="169">
        <v>1.0</v>
      </c>
      <c r="BH88" s="169">
        <v>1.0</v>
      </c>
      <c r="BI88" s="90" t="s">
        <v>469</v>
      </c>
      <c r="BJ88" s="170" t="s">
        <v>493</v>
      </c>
      <c r="BK88" s="170" t="s">
        <v>493</v>
      </c>
      <c r="BL88" s="170" t="s">
        <v>469</v>
      </c>
      <c r="BM88" s="169">
        <v>1.0</v>
      </c>
      <c r="BN88" s="169">
        <v>2.0</v>
      </c>
      <c r="BO88" s="169">
        <v>2.0</v>
      </c>
      <c r="BP88" s="169">
        <v>0.0</v>
      </c>
      <c r="BQ88" s="108"/>
      <c r="BR88" s="15">
        <v>1.0</v>
      </c>
      <c r="BS88" s="15">
        <v>1.0</v>
      </c>
      <c r="BT88" s="15">
        <v>0.0</v>
      </c>
      <c r="BU88" s="15">
        <v>44.0</v>
      </c>
      <c r="BV88" s="15" t="s">
        <v>493</v>
      </c>
      <c r="BW88" s="108"/>
      <c r="CC88" s="108"/>
      <c r="CI88" s="108"/>
      <c r="CO88" s="108"/>
      <c r="CU88" s="108"/>
      <c r="DA88" s="108"/>
      <c r="DG88" s="108"/>
      <c r="DM88" s="108"/>
      <c r="DS88" s="108"/>
      <c r="DT88" s="108"/>
      <c r="DU88" s="108"/>
      <c r="DW88" s="109"/>
      <c r="DX88" s="110">
        <f t="shared" si="13"/>
        <v>1</v>
      </c>
      <c r="DY88" s="111">
        <f t="shared" ref="DY88:DZ88" si="235">sum(BS88,BY88,CE88,CK88,CQ88,CW88,DC88,DI88,DO88)</f>
        <v>1</v>
      </c>
      <c r="DZ88" s="111">
        <f t="shared" si="235"/>
        <v>0</v>
      </c>
      <c r="EA88" s="110">
        <f t="shared" si="15"/>
        <v>44</v>
      </c>
      <c r="EB88" s="99" t="str">
        <f t="shared" si="16"/>
        <v>35 - 54</v>
      </c>
      <c r="EC88" s="112"/>
      <c r="ED88" s="113">
        <f t="shared" si="17"/>
        <v>4.2</v>
      </c>
      <c r="EE88" s="114" t="str">
        <f>IF(V88 &lt;&gt; "", 1+((V88-MIN(discount_rates))*(4)/(MAX(discount_rates) - MIN(discount_rates))), "")</f>
        <v/>
      </c>
      <c r="EF88" s="114" t="str">
        <f>IF(Q88="Debt", (1+((S88-MIN(interest_rates))*(4)/(MAX(interest_rates) - MIN(interest_rates)))), "")</f>
        <v/>
      </c>
      <c r="EG88" s="114" t="str">
        <f>IF(OR(Q88="Revenue Share", Q88="Profit Share"), (1+((R88-MIN(return_mutiples))*(4)/(MAX(return_mutiples) - MIN(return_mutiples)))), "")</f>
        <v/>
      </c>
      <c r="EH88" s="115">
        <f t="shared" si="18"/>
        <v>4.2</v>
      </c>
      <c r="EI88" s="116" t="str">
        <f t="shared" si="19"/>
        <v>Equity - Common</v>
      </c>
      <c r="EJ88" s="117">
        <f t="shared" si="20"/>
        <v>0.3287671233</v>
      </c>
      <c r="EK88" s="116" t="str">
        <f t="shared" si="21"/>
        <v>Early</v>
      </c>
      <c r="EL88" s="112"/>
      <c r="EM88" s="118">
        <f t="shared" si="22"/>
        <v>1.9</v>
      </c>
      <c r="EN88" s="118">
        <f t="shared" si="23"/>
        <v>3.7</v>
      </c>
      <c r="EO88" s="119">
        <f t="shared" si="24"/>
        <v>5.6</v>
      </c>
      <c r="EP88" s="115">
        <f>1+((EO88-MIN(market_ratings_sums))*(4)/(MAX(market_ratings_sums) - MIN(market_ratings_sums)))</f>
        <v>3.035087719</v>
      </c>
      <c r="EQ88" s="116" t="str">
        <f t="shared" si="25"/>
        <v>No</v>
      </c>
      <c r="ER88" s="112"/>
      <c r="ES88" s="123">
        <f>1+((DX88-MIN(industry_experiences))*(4)/(MAX(industry_experiences) - MIN(industry_experiences)))</f>
        <v>1.095238095</v>
      </c>
      <c r="ET88" s="123">
        <f>1+((DY88-MIN(previous_startups))*(4)/(MAX(previous_startups) - MIN(previous_startups)))</f>
        <v>1.444444444</v>
      </c>
      <c r="EU88" s="123">
        <f>1+((DZ88-MIN(exits))*(4)/(MAX(exits) - MIN(exits)))</f>
        <v>1</v>
      </c>
      <c r="EV88" s="119">
        <f t="shared" si="26"/>
        <v>3.53968254</v>
      </c>
      <c r="EW88" s="124">
        <f>1+((EV88-MIN(team_ratings_sums))*(4)/(MAX(team_ratings_sums) - MIN(team_ratings_sums)))</f>
        <v>1.295652174</v>
      </c>
      <c r="EX88" s="116" t="str">
        <f t="shared" si="27"/>
        <v>35 - 54</v>
      </c>
      <c r="EY88" s="125">
        <f t="shared" si="28"/>
        <v>0.6849315068</v>
      </c>
      <c r="EZ88" s="116">
        <f t="shared" si="29"/>
        <v>1</v>
      </c>
      <c r="FA88" s="125">
        <f t="shared" si="30"/>
        <v>0.4383561644</v>
      </c>
      <c r="FB88" s="116">
        <f t="shared" si="31"/>
        <v>2</v>
      </c>
      <c r="FC88" s="125">
        <f t="shared" si="32"/>
        <v>0.1369863014</v>
      </c>
      <c r="FD88" s="116" t="str">
        <f t="shared" si="33"/>
        <v>No</v>
      </c>
      <c r="FE88" s="125">
        <f t="shared" si="34"/>
        <v>0.7534246575</v>
      </c>
      <c r="FF88" s="116" t="str">
        <f t="shared" ref="FF88:FH88" si="236">BJ88</f>
        <v>Yes</v>
      </c>
      <c r="FG88" s="116" t="str">
        <f t="shared" si="236"/>
        <v>Yes</v>
      </c>
      <c r="FH88" s="116" t="str">
        <f t="shared" si="236"/>
        <v>No</v>
      </c>
      <c r="FI88" s="112"/>
      <c r="FJ88" s="116" t="str">
        <f t="shared" si="36"/>
        <v>Transactional</v>
      </c>
      <c r="FK88" s="125">
        <f t="shared" si="37"/>
        <v>0.602739726</v>
      </c>
      <c r="FL88" s="116" t="str">
        <f t="shared" si="38"/>
        <v>B2C</v>
      </c>
      <c r="FM88" s="125">
        <f t="shared" si="39"/>
        <v>0.397260274</v>
      </c>
      <c r="FN88" s="116" t="str">
        <f t="shared" si="40"/>
        <v>High</v>
      </c>
      <c r="FO88" s="125">
        <f t="shared" si="41"/>
        <v>0.5616438356</v>
      </c>
      <c r="FP88" s="116" t="str">
        <f t="shared" si="42"/>
        <v>Low</v>
      </c>
      <c r="FQ88" s="125">
        <f t="shared" si="43"/>
        <v>0.3561643836</v>
      </c>
      <c r="FR88" s="112"/>
      <c r="FS88" s="123">
        <f t="shared" si="44"/>
        <v>1</v>
      </c>
      <c r="FT88" s="123">
        <f t="shared" si="45"/>
        <v>1</v>
      </c>
      <c r="FU88" s="123">
        <f t="shared" si="46"/>
        <v>1</v>
      </c>
      <c r="FV88" s="123">
        <f t="shared" si="47"/>
        <v>5</v>
      </c>
      <c r="FW88" s="119">
        <f t="shared" si="48"/>
        <v>8</v>
      </c>
      <c r="FX88" s="115">
        <f>1+((FW88-MIN(performance_ratings_sums))*(4)/(MAX(performance_ratings_sums) - MIN(performance_ratings_sums)))</f>
        <v>1.485981308</v>
      </c>
      <c r="FY88" s="116" t="str">
        <f t="shared" si="49"/>
        <v>Pre-Revenue</v>
      </c>
      <c r="FZ88" s="126">
        <f t="shared" si="50"/>
        <v>0.2054794521</v>
      </c>
      <c r="GA88" s="112"/>
      <c r="GB88" s="127">
        <f t="shared" si="51"/>
        <v>1</v>
      </c>
      <c r="GC88" s="116" t="str">
        <f t="shared" si="52"/>
        <v>No</v>
      </c>
      <c r="GD88" s="126">
        <f t="shared" si="53"/>
        <v>0.7671232877</v>
      </c>
      <c r="GE88" s="126" t="str">
        <f t="shared" si="54"/>
        <v>Low</v>
      </c>
      <c r="GF88" s="126">
        <f t="shared" si="55"/>
        <v>0.5479452055</v>
      </c>
      <c r="GG88" s="126" t="str">
        <f t="shared" si="56"/>
        <v>High</v>
      </c>
      <c r="GH88" s="126">
        <f t="shared" si="57"/>
        <v>0.8082191781</v>
      </c>
      <c r="GI88" s="112"/>
      <c r="GJ88" s="116"/>
      <c r="GK88" s="119">
        <f t="shared" si="58"/>
        <v>11.0167212</v>
      </c>
      <c r="GL88" s="128">
        <f>1+((GK88-MIN(ratings_sums))*(4)/(MAX(ratings_sums) - MIN(ratings_sums)))</f>
        <v>2.172966576</v>
      </c>
    </row>
    <row r="89" ht="15.75" customHeight="1">
      <c r="A89" s="176" t="s">
        <v>702</v>
      </c>
      <c r="B89" s="169">
        <v>1797565.0</v>
      </c>
      <c r="C89" s="177" t="s">
        <v>927</v>
      </c>
      <c r="D89" s="178">
        <v>43887.64444444444</v>
      </c>
      <c r="E89" s="170" t="s">
        <v>126</v>
      </c>
      <c r="F89" s="150" t="s">
        <v>928</v>
      </c>
      <c r="G89" s="150" t="s">
        <v>929</v>
      </c>
      <c r="H89" s="179">
        <v>43873.0</v>
      </c>
      <c r="I89" s="180" t="s">
        <v>930</v>
      </c>
      <c r="J89" s="180" t="s">
        <v>931</v>
      </c>
      <c r="K89" s="170" t="s">
        <v>322</v>
      </c>
      <c r="L89" s="170" t="s">
        <v>99</v>
      </c>
      <c r="M89" s="170" t="s">
        <v>31</v>
      </c>
      <c r="N89" s="170" t="s">
        <v>82</v>
      </c>
      <c r="O89" s="170" t="s">
        <v>35</v>
      </c>
      <c r="P89" s="171"/>
      <c r="Q89" s="170" t="s">
        <v>121</v>
      </c>
      <c r="R89" s="181"/>
      <c r="S89" s="182"/>
      <c r="T89" s="21">
        <v>3.0E7</v>
      </c>
      <c r="U89" s="184"/>
      <c r="V89" s="185"/>
      <c r="W89" s="96" t="str">
        <f t="shared" si="125"/>
        <v/>
      </c>
      <c r="X89" s="98">
        <f t="shared" si="126"/>
        <v>30000000</v>
      </c>
      <c r="Y89" s="99" t="str">
        <f t="shared" si="127"/>
        <v>$28M - $30M</v>
      </c>
      <c r="Z89" s="170" t="s">
        <v>86</v>
      </c>
      <c r="AA89" s="170" t="s">
        <v>37</v>
      </c>
      <c r="AB89" s="170" t="s">
        <v>88</v>
      </c>
      <c r="AC89" s="170" t="s">
        <v>493</v>
      </c>
      <c r="AD89" s="170" t="s">
        <v>39</v>
      </c>
      <c r="AE89" s="170" t="s">
        <v>39</v>
      </c>
      <c r="AF89" s="170" t="s">
        <v>469</v>
      </c>
      <c r="AG89" s="184">
        <v>1.0E11</v>
      </c>
      <c r="AH89" s="97" t="str">
        <f t="shared" si="128"/>
        <v>$100B-$250B</v>
      </c>
      <c r="AI89" s="184">
        <v>1.0E11</v>
      </c>
      <c r="AJ89" s="97" t="str">
        <f t="shared" si="129"/>
        <v>$100B-$250B</v>
      </c>
      <c r="AK89" s="186">
        <v>0.27</v>
      </c>
      <c r="AL89" s="88" t="str">
        <f t="shared" si="130"/>
        <v>20%-30%</v>
      </c>
      <c r="AM89" s="169">
        <v>50.0</v>
      </c>
      <c r="AN89" s="170" t="s">
        <v>39</v>
      </c>
      <c r="AO89" s="170" t="s">
        <v>89</v>
      </c>
      <c r="AP89" s="170" t="s">
        <v>90</v>
      </c>
      <c r="AQ89" s="100" t="s">
        <v>39</v>
      </c>
      <c r="AR89" s="100" t="s">
        <v>89</v>
      </c>
      <c r="AS89" s="170" t="s">
        <v>493</v>
      </c>
      <c r="AT89" s="170" t="s">
        <v>493</v>
      </c>
      <c r="AU89" s="170" t="s">
        <v>469</v>
      </c>
      <c r="AV89" s="170" t="s">
        <v>469</v>
      </c>
      <c r="AW89" s="184">
        <v>0.0</v>
      </c>
      <c r="AX89" s="96" t="str">
        <f t="shared" si="131"/>
        <v>&lt; $10K</v>
      </c>
      <c r="AY89" s="184">
        <v>0.0</v>
      </c>
      <c r="AZ89" s="184">
        <v>0.0</v>
      </c>
      <c r="BA89" s="103" t="str">
        <f t="shared" si="132"/>
        <v>&lt; $10K</v>
      </c>
      <c r="BB89" s="103">
        <f t="shared" si="133"/>
        <v>1</v>
      </c>
      <c r="BC89" s="103" t="str">
        <f t="shared" si="134"/>
        <v>90% - 100%</v>
      </c>
      <c r="BD89" s="170" t="s">
        <v>91</v>
      </c>
      <c r="BE89" s="171"/>
      <c r="BF89" s="170" t="s">
        <v>469</v>
      </c>
      <c r="BG89" s="170">
        <v>0.0</v>
      </c>
      <c r="BH89" s="169">
        <v>1.0</v>
      </c>
      <c r="BI89" s="90" t="s">
        <v>469</v>
      </c>
      <c r="BJ89" s="170" t="s">
        <v>469</v>
      </c>
      <c r="BK89" s="170" t="s">
        <v>469</v>
      </c>
      <c r="BL89" s="170" t="s">
        <v>493</v>
      </c>
      <c r="BM89" s="169">
        <v>1.0</v>
      </c>
      <c r="BN89" s="169">
        <v>4.0</v>
      </c>
      <c r="BO89" s="169">
        <v>0.0</v>
      </c>
      <c r="BP89" s="169">
        <v>0.0</v>
      </c>
      <c r="BQ89" s="108"/>
      <c r="BR89" s="15">
        <v>12.0</v>
      </c>
      <c r="BS89" s="15">
        <v>0.0</v>
      </c>
      <c r="BT89" s="15">
        <v>0.0</v>
      </c>
      <c r="BU89" s="15">
        <v>70.0</v>
      </c>
      <c r="BV89" s="15" t="s">
        <v>469</v>
      </c>
      <c r="BW89" s="108"/>
      <c r="CC89" s="108"/>
      <c r="CI89" s="108"/>
      <c r="CO89" s="108"/>
      <c r="CU89" s="108"/>
      <c r="DA89" s="108"/>
      <c r="DG89" s="108"/>
      <c r="DM89" s="108"/>
      <c r="DS89" s="108"/>
      <c r="DT89" s="108"/>
      <c r="DU89" s="108"/>
      <c r="DW89" s="109"/>
      <c r="DX89" s="110">
        <f t="shared" si="13"/>
        <v>12</v>
      </c>
      <c r="DY89" s="111">
        <f t="shared" ref="DY89:DZ89" si="237">sum(BS89,BY89,CE89,CK89,CQ89,CW89,DC89,DI89,DO89)</f>
        <v>0</v>
      </c>
      <c r="DZ89" s="111">
        <f t="shared" si="237"/>
        <v>0</v>
      </c>
      <c r="EA89" s="110">
        <f t="shared" si="15"/>
        <v>70</v>
      </c>
      <c r="EB89" s="99" t="str">
        <f t="shared" si="16"/>
        <v>55+</v>
      </c>
      <c r="EC89" s="112"/>
      <c r="ED89" s="113">
        <f t="shared" si="17"/>
        <v>2.1</v>
      </c>
      <c r="EE89" s="114" t="str">
        <f>IF(V89 &lt;&gt; "", 1+((V89-MIN(discount_rates))*(4)/(MAX(discount_rates) - MIN(discount_rates))), "")</f>
        <v/>
      </c>
      <c r="EF89" s="114" t="str">
        <f>IF(Q89="Debt", (1+((S89-MIN(interest_rates))*(4)/(MAX(interest_rates) - MIN(interest_rates)))), "")</f>
        <v/>
      </c>
      <c r="EG89" s="114" t="str">
        <f>IF(OR(Q89="Revenue Share", Q89="Profit Share"), (1+((R89-MIN(return_mutiples))*(4)/(MAX(return_mutiples) - MIN(return_mutiples)))), "")</f>
        <v/>
      </c>
      <c r="EH89" s="115">
        <f t="shared" si="18"/>
        <v>2.1</v>
      </c>
      <c r="EI89" s="116" t="str">
        <f t="shared" si="19"/>
        <v>Equity - Common</v>
      </c>
      <c r="EJ89" s="117">
        <f t="shared" si="20"/>
        <v>0.3287671233</v>
      </c>
      <c r="EK89" s="116" t="str">
        <f t="shared" si="21"/>
        <v>Early</v>
      </c>
      <c r="EL89" s="112"/>
      <c r="EM89" s="118">
        <f t="shared" si="22"/>
        <v>4.1</v>
      </c>
      <c r="EN89" s="118">
        <f t="shared" si="23"/>
        <v>3</v>
      </c>
      <c r="EO89" s="119">
        <f t="shared" si="24"/>
        <v>7.1</v>
      </c>
      <c r="EP89" s="115">
        <f>1+((EO89-MIN(market_ratings_sums))*(4)/(MAX(market_ratings_sums) - MIN(market_ratings_sums)))</f>
        <v>4.087719298</v>
      </c>
      <c r="EQ89" s="116" t="str">
        <f t="shared" si="25"/>
        <v>Yes</v>
      </c>
      <c r="ER89" s="112"/>
      <c r="ES89" s="123">
        <f>1+((DX89-MIN(industry_experiences))*(4)/(MAX(industry_experiences) - MIN(industry_experiences)))</f>
        <v>2.142857143</v>
      </c>
      <c r="ET89" s="123">
        <f>1+((DY89-MIN(previous_startups))*(4)/(MAX(previous_startups) - MIN(previous_startups)))</f>
        <v>1</v>
      </c>
      <c r="EU89" s="123">
        <f>1+((DZ89-MIN(exits))*(4)/(MAX(exits) - MIN(exits)))</f>
        <v>1</v>
      </c>
      <c r="EV89" s="119">
        <f t="shared" si="26"/>
        <v>4.142857143</v>
      </c>
      <c r="EW89" s="124">
        <f>1+((EV89-MIN(team_ratings_sums))*(4)/(MAX(team_ratings_sums) - MIN(team_ratings_sums)))</f>
        <v>1.626086957</v>
      </c>
      <c r="EX89" s="116" t="str">
        <f t="shared" si="27"/>
        <v>55+</v>
      </c>
      <c r="EY89" s="125">
        <f t="shared" si="28"/>
        <v>0.1095890411</v>
      </c>
      <c r="EZ89" s="116">
        <f t="shared" si="29"/>
        <v>1</v>
      </c>
      <c r="FA89" s="125">
        <f t="shared" si="30"/>
        <v>0.4383561644</v>
      </c>
      <c r="FB89" s="116">
        <f t="shared" si="31"/>
        <v>4</v>
      </c>
      <c r="FC89" s="125">
        <f t="shared" si="32"/>
        <v>0.1369863014</v>
      </c>
      <c r="FD89" s="116" t="str">
        <f t="shared" si="33"/>
        <v>No</v>
      </c>
      <c r="FE89" s="125">
        <f t="shared" si="34"/>
        <v>0.7534246575</v>
      </c>
      <c r="FF89" s="116" t="str">
        <f t="shared" ref="FF89:FH89" si="238">BJ89</f>
        <v>No</v>
      </c>
      <c r="FG89" s="116" t="str">
        <f t="shared" si="238"/>
        <v>No</v>
      </c>
      <c r="FH89" s="116" t="str">
        <f t="shared" si="238"/>
        <v>Yes</v>
      </c>
      <c r="FI89" s="112"/>
      <c r="FJ89" s="116" t="str">
        <f t="shared" si="36"/>
        <v>Recurring</v>
      </c>
      <c r="FK89" s="125">
        <f t="shared" si="37"/>
        <v>0.397260274</v>
      </c>
      <c r="FL89" s="116" t="str">
        <f t="shared" si="38"/>
        <v>B2B</v>
      </c>
      <c r="FM89" s="125">
        <f t="shared" si="39"/>
        <v>0.2465753425</v>
      </c>
      <c r="FN89" s="116" t="str">
        <f t="shared" si="40"/>
        <v>High</v>
      </c>
      <c r="FO89" s="125">
        <f t="shared" si="41"/>
        <v>0.5616438356</v>
      </c>
      <c r="FP89" s="116" t="str">
        <f t="shared" si="42"/>
        <v>High</v>
      </c>
      <c r="FQ89" s="125">
        <f t="shared" si="43"/>
        <v>0.6438356164</v>
      </c>
      <c r="FR89" s="112"/>
      <c r="FS89" s="123">
        <f t="shared" si="44"/>
        <v>1</v>
      </c>
      <c r="FT89" s="123">
        <f t="shared" si="45"/>
        <v>1</v>
      </c>
      <c r="FU89" s="123">
        <f t="shared" si="46"/>
        <v>1</v>
      </c>
      <c r="FV89" s="123">
        <f t="shared" si="47"/>
        <v>5</v>
      </c>
      <c r="FW89" s="119">
        <f t="shared" si="48"/>
        <v>8</v>
      </c>
      <c r="FX89" s="115">
        <f>1+((FW89-MIN(performance_ratings_sums))*(4)/(MAX(performance_ratings_sums) - MIN(performance_ratings_sums)))</f>
        <v>1.485981308</v>
      </c>
      <c r="FY89" s="116" t="str">
        <f t="shared" si="49"/>
        <v>Pre-Revenue</v>
      </c>
      <c r="FZ89" s="126">
        <f t="shared" si="50"/>
        <v>0.2054794521</v>
      </c>
      <c r="GA89" s="112"/>
      <c r="GB89" s="127">
        <f t="shared" si="51"/>
        <v>3</v>
      </c>
      <c r="GC89" s="116" t="str">
        <f t="shared" si="52"/>
        <v>Yes</v>
      </c>
      <c r="GD89" s="126">
        <f t="shared" si="53"/>
        <v>0.2328767123</v>
      </c>
      <c r="GE89" s="126" t="str">
        <f t="shared" si="54"/>
        <v>High</v>
      </c>
      <c r="GF89" s="126">
        <f t="shared" si="55"/>
        <v>0.4520547945</v>
      </c>
      <c r="GG89" s="126" t="str">
        <f t="shared" si="56"/>
        <v>Low</v>
      </c>
      <c r="GH89" s="126">
        <f t="shared" si="57"/>
        <v>0.1917808219</v>
      </c>
      <c r="GI89" s="112"/>
      <c r="GJ89" s="116"/>
      <c r="GK89" s="119">
        <f t="shared" si="58"/>
        <v>12.29978756</v>
      </c>
      <c r="GL89" s="128">
        <f>1+((GK89-MIN(ratings_sums))*(4)/(MAX(ratings_sums) - MIN(ratings_sums)))</f>
        <v>2.566662616</v>
      </c>
    </row>
    <row r="90" ht="15.75" customHeight="1">
      <c r="A90" s="176" t="s">
        <v>702</v>
      </c>
      <c r="B90" s="169">
        <v>1800212.0</v>
      </c>
      <c r="C90" s="177" t="s">
        <v>932</v>
      </c>
      <c r="D90" s="178">
        <v>43888.47222222222</v>
      </c>
      <c r="E90" s="170" t="s">
        <v>392</v>
      </c>
      <c r="F90" s="150" t="s">
        <v>933</v>
      </c>
      <c r="G90" s="150" t="s">
        <v>934</v>
      </c>
      <c r="H90" s="179">
        <v>43847.0</v>
      </c>
      <c r="I90" s="180" t="s">
        <v>935</v>
      </c>
      <c r="J90" s="180" t="s">
        <v>932</v>
      </c>
      <c r="K90" s="170" t="s">
        <v>543</v>
      </c>
      <c r="L90" s="170" t="s">
        <v>349</v>
      </c>
      <c r="M90" s="170" t="s">
        <v>31</v>
      </c>
      <c r="N90" s="170" t="s">
        <v>101</v>
      </c>
      <c r="O90" s="170" t="s">
        <v>35</v>
      </c>
      <c r="P90" s="171"/>
      <c r="Q90" s="170" t="s">
        <v>195</v>
      </c>
      <c r="R90" s="181"/>
      <c r="S90" s="182"/>
      <c r="T90" s="183"/>
      <c r="U90" s="16">
        <v>1000000.0</v>
      </c>
      <c r="V90" s="185">
        <v>0.0</v>
      </c>
      <c r="W90" s="96">
        <f t="shared" si="125"/>
        <v>1000000</v>
      </c>
      <c r="X90" s="98">
        <f t="shared" si="126"/>
        <v>1000000</v>
      </c>
      <c r="Y90" s="99" t="str">
        <f t="shared" si="127"/>
        <v>$1M - $2M</v>
      </c>
      <c r="Z90" s="170" t="s">
        <v>36</v>
      </c>
      <c r="AA90" s="170" t="s">
        <v>123</v>
      </c>
      <c r="AB90" s="170" t="s">
        <v>88</v>
      </c>
      <c r="AC90" s="170" t="s">
        <v>493</v>
      </c>
      <c r="AD90" s="170" t="s">
        <v>89</v>
      </c>
      <c r="AE90" s="170" t="s">
        <v>39</v>
      </c>
      <c r="AF90" s="170" t="s">
        <v>469</v>
      </c>
      <c r="AG90" s="184">
        <v>8.709944E10</v>
      </c>
      <c r="AH90" s="97" t="str">
        <f t="shared" si="128"/>
        <v>$50B-$100B</v>
      </c>
      <c r="AI90" s="184">
        <v>8.709944E10</v>
      </c>
      <c r="AJ90" s="97" t="str">
        <f t="shared" si="129"/>
        <v>$50B-$100B</v>
      </c>
      <c r="AK90" s="186">
        <v>0.192</v>
      </c>
      <c r="AL90" s="88" t="str">
        <f t="shared" si="130"/>
        <v>10%-20%</v>
      </c>
      <c r="AM90" s="169">
        <v>15.0</v>
      </c>
      <c r="AN90" s="170" t="s">
        <v>39</v>
      </c>
      <c r="AO90" s="170" t="s">
        <v>89</v>
      </c>
      <c r="AP90" s="170" t="s">
        <v>40</v>
      </c>
      <c r="AQ90" s="100" t="s">
        <v>39</v>
      </c>
      <c r="AR90" s="100" t="s">
        <v>39</v>
      </c>
      <c r="AS90" s="170" t="s">
        <v>493</v>
      </c>
      <c r="AT90" s="170" t="s">
        <v>469</v>
      </c>
      <c r="AU90" s="170" t="s">
        <v>493</v>
      </c>
      <c r="AV90" s="170" t="s">
        <v>493</v>
      </c>
      <c r="AW90" s="184">
        <v>72715.0</v>
      </c>
      <c r="AX90" s="96" t="str">
        <f t="shared" si="131"/>
        <v>$50K - $100K</v>
      </c>
      <c r="AY90" s="184">
        <v>16744.0</v>
      </c>
      <c r="AZ90" s="184">
        <v>344000.0</v>
      </c>
      <c r="BA90" s="103" t="str">
        <f t="shared" si="132"/>
        <v>$100K - $500K</v>
      </c>
      <c r="BB90" s="103">
        <f t="shared" si="133"/>
        <v>0.0486744186</v>
      </c>
      <c r="BC90" s="103" t="str">
        <f t="shared" si="134"/>
        <v>&lt; 10%</v>
      </c>
      <c r="BD90" s="170" t="s">
        <v>107</v>
      </c>
      <c r="BE90" s="171"/>
      <c r="BF90" s="170" t="s">
        <v>493</v>
      </c>
      <c r="BG90" s="170">
        <v>1.0</v>
      </c>
      <c r="BH90" s="169">
        <v>2.0</v>
      </c>
      <c r="BI90" s="170" t="s">
        <v>493</v>
      </c>
      <c r="BJ90" s="170" t="s">
        <v>469</v>
      </c>
      <c r="BK90" s="170" t="s">
        <v>493</v>
      </c>
      <c r="BL90" s="170" t="s">
        <v>469</v>
      </c>
      <c r="BM90" s="169">
        <v>2.0</v>
      </c>
      <c r="BN90" s="169">
        <v>7.0</v>
      </c>
      <c r="BO90" s="169">
        <v>1.0</v>
      </c>
      <c r="BP90" s="170">
        <v>1.0</v>
      </c>
      <c r="BQ90" s="108"/>
      <c r="BR90" s="15">
        <v>4.0</v>
      </c>
      <c r="BS90" s="15">
        <v>1.0</v>
      </c>
      <c r="BT90" s="15">
        <v>0.0</v>
      </c>
      <c r="BU90" s="15">
        <v>46.0</v>
      </c>
      <c r="BV90" s="15" t="s">
        <v>469</v>
      </c>
      <c r="BW90" s="108"/>
      <c r="BX90" s="15">
        <v>4.0</v>
      </c>
      <c r="BY90" s="15">
        <v>1.0</v>
      </c>
      <c r="BZ90" s="15">
        <v>0.0</v>
      </c>
      <c r="CC90" s="108"/>
      <c r="CI90" s="108"/>
      <c r="CO90" s="108"/>
      <c r="CU90" s="108"/>
      <c r="DA90" s="108"/>
      <c r="DG90" s="108"/>
      <c r="DM90" s="108"/>
      <c r="DS90" s="108"/>
      <c r="DT90" s="108"/>
      <c r="DU90" s="108"/>
      <c r="DW90" s="109"/>
      <c r="DX90" s="110">
        <f t="shared" si="13"/>
        <v>4</v>
      </c>
      <c r="DY90" s="111">
        <f t="shared" ref="DY90:DZ90" si="239">sum(BS90,BY90,CE90,CK90,CQ90,CW90,DC90,DI90,DO90)</f>
        <v>2</v>
      </c>
      <c r="DZ90" s="111">
        <f t="shared" si="239"/>
        <v>0</v>
      </c>
      <c r="EA90" s="110">
        <f t="shared" si="15"/>
        <v>46</v>
      </c>
      <c r="EB90" s="99" t="str">
        <f t="shared" si="16"/>
        <v>35 - 54</v>
      </c>
      <c r="EC90" s="112"/>
      <c r="ED90" s="113">
        <f t="shared" si="17"/>
        <v>4.8</v>
      </c>
      <c r="EE90" s="114">
        <f>IF(V90 &lt;&gt; "", 1+((V90-MIN(discount_rates))*(4)/(MAX(discount_rates) - MIN(discount_rates))), "")</f>
        <v>1</v>
      </c>
      <c r="EF90" s="114" t="str">
        <f>IF(Q90="Debt", (1+((S90-MIN(interest_rates))*(4)/(MAX(interest_rates) - MIN(interest_rates)))), "")</f>
        <v/>
      </c>
      <c r="EG90" s="114" t="str">
        <f>IF(OR(Q90="Revenue Share", Q90="Profit Share"), (1+((R90-MIN(return_mutiples))*(4)/(MAX(return_mutiples) - MIN(return_mutiples)))), "")</f>
        <v/>
      </c>
      <c r="EH90" s="115">
        <f t="shared" si="18"/>
        <v>4.8</v>
      </c>
      <c r="EI90" s="116" t="str">
        <f t="shared" si="19"/>
        <v>SAFE</v>
      </c>
      <c r="EJ90" s="117">
        <f t="shared" si="20"/>
        <v>0.3561643836</v>
      </c>
      <c r="EK90" s="116" t="str">
        <f t="shared" si="21"/>
        <v>Early</v>
      </c>
      <c r="EL90" s="112"/>
      <c r="EM90" s="118">
        <f t="shared" si="22"/>
        <v>3.9</v>
      </c>
      <c r="EN90" s="118">
        <f t="shared" si="23"/>
        <v>2.3</v>
      </c>
      <c r="EO90" s="119">
        <f t="shared" si="24"/>
        <v>6.2</v>
      </c>
      <c r="EP90" s="115">
        <f>1+((EO90-MIN(market_ratings_sums))*(4)/(MAX(market_ratings_sums) - MIN(market_ratings_sums)))</f>
        <v>3.456140351</v>
      </c>
      <c r="EQ90" s="116" t="str">
        <f t="shared" si="25"/>
        <v>Yes</v>
      </c>
      <c r="ER90" s="112"/>
      <c r="ES90" s="123">
        <f>1+((DX90-MIN(industry_experiences))*(4)/(MAX(industry_experiences) - MIN(industry_experiences)))</f>
        <v>1.380952381</v>
      </c>
      <c r="ET90" s="123">
        <f>1+((DY90-MIN(previous_startups))*(4)/(MAX(previous_startups) - MIN(previous_startups)))</f>
        <v>1.888888889</v>
      </c>
      <c r="EU90" s="123">
        <f>1+((DZ90-MIN(exits))*(4)/(MAX(exits) - MIN(exits)))</f>
        <v>1</v>
      </c>
      <c r="EV90" s="119">
        <f t="shared" si="26"/>
        <v>4.26984127</v>
      </c>
      <c r="EW90" s="124">
        <f>1+((EV90-MIN(team_ratings_sums))*(4)/(MAX(team_ratings_sums) - MIN(team_ratings_sums)))</f>
        <v>1.695652174</v>
      </c>
      <c r="EX90" s="116" t="str">
        <f t="shared" si="27"/>
        <v>35 - 54</v>
      </c>
      <c r="EY90" s="125">
        <f t="shared" si="28"/>
        <v>0.6849315068</v>
      </c>
      <c r="EZ90" s="116">
        <f t="shared" si="29"/>
        <v>2</v>
      </c>
      <c r="FA90" s="125">
        <f t="shared" si="30"/>
        <v>0.4520547945</v>
      </c>
      <c r="FB90" s="116">
        <f t="shared" si="31"/>
        <v>7</v>
      </c>
      <c r="FC90" s="125">
        <f t="shared" si="32"/>
        <v>0.04109589041</v>
      </c>
      <c r="FD90" s="116" t="str">
        <f t="shared" si="33"/>
        <v>Yes</v>
      </c>
      <c r="FE90" s="125">
        <f t="shared" si="34"/>
        <v>0.2465753425</v>
      </c>
      <c r="FF90" s="116" t="str">
        <f t="shared" ref="FF90:FH90" si="240">BJ90</f>
        <v>No</v>
      </c>
      <c r="FG90" s="116" t="str">
        <f t="shared" si="240"/>
        <v>Yes</v>
      </c>
      <c r="FH90" s="116" t="str">
        <f t="shared" si="240"/>
        <v>No</v>
      </c>
      <c r="FI90" s="112"/>
      <c r="FJ90" s="116" t="str">
        <f t="shared" si="36"/>
        <v>Transactional</v>
      </c>
      <c r="FK90" s="125">
        <f t="shared" si="37"/>
        <v>0.602739726</v>
      </c>
      <c r="FL90" s="116" t="str">
        <f t="shared" si="38"/>
        <v>B2B/B2C</v>
      </c>
      <c r="FM90" s="125">
        <f t="shared" si="39"/>
        <v>0.3287671233</v>
      </c>
      <c r="FN90" s="116" t="str">
        <f t="shared" si="40"/>
        <v>Low</v>
      </c>
      <c r="FO90" s="125">
        <f t="shared" si="41"/>
        <v>0.4383561644</v>
      </c>
      <c r="FP90" s="116" t="str">
        <f t="shared" si="42"/>
        <v>High</v>
      </c>
      <c r="FQ90" s="125">
        <f t="shared" si="43"/>
        <v>0.6438356164</v>
      </c>
      <c r="FR90" s="112"/>
      <c r="FS90" s="123">
        <f t="shared" si="44"/>
        <v>5</v>
      </c>
      <c r="FT90" s="123">
        <f t="shared" si="45"/>
        <v>1.9</v>
      </c>
      <c r="FU90" s="123">
        <f t="shared" si="46"/>
        <v>5</v>
      </c>
      <c r="FV90" s="123">
        <f t="shared" si="47"/>
        <v>3.7</v>
      </c>
      <c r="FW90" s="119">
        <f t="shared" si="48"/>
        <v>15.6</v>
      </c>
      <c r="FX90" s="115">
        <f>1+((FW90-MIN(performance_ratings_sums))*(4)/(MAX(performance_ratings_sums) - MIN(performance_ratings_sums)))</f>
        <v>4.327102804</v>
      </c>
      <c r="FY90" s="116" t="str">
        <f t="shared" si="49"/>
        <v>Pre-Profit</v>
      </c>
      <c r="FZ90" s="126">
        <f t="shared" si="50"/>
        <v>0.4931506849</v>
      </c>
      <c r="GA90" s="112"/>
      <c r="GB90" s="127">
        <f t="shared" si="51"/>
        <v>3</v>
      </c>
      <c r="GC90" s="116" t="str">
        <f t="shared" si="52"/>
        <v>No</v>
      </c>
      <c r="GD90" s="126">
        <f t="shared" si="53"/>
        <v>0.7671232877</v>
      </c>
      <c r="GE90" s="126" t="str">
        <f t="shared" si="54"/>
        <v>High</v>
      </c>
      <c r="GF90" s="126">
        <f t="shared" si="55"/>
        <v>0.4520547945</v>
      </c>
      <c r="GG90" s="126" t="str">
        <f t="shared" si="56"/>
        <v>High</v>
      </c>
      <c r="GH90" s="126">
        <f t="shared" si="57"/>
        <v>0.8082191781</v>
      </c>
      <c r="GI90" s="112"/>
      <c r="GJ90" s="116"/>
      <c r="GK90" s="119">
        <f t="shared" si="58"/>
        <v>17.27889533</v>
      </c>
      <c r="GL90" s="128">
        <f>1+((GK90-MIN(ratings_sums))*(4)/(MAX(ratings_sums) - MIN(ratings_sums)))</f>
        <v>4.094451881</v>
      </c>
    </row>
    <row r="91" ht="15.75" customHeight="1">
      <c r="A91" s="176" t="s">
        <v>702</v>
      </c>
      <c r="B91" s="169">
        <v>1674612.0</v>
      </c>
      <c r="C91" s="177" t="s">
        <v>936</v>
      </c>
      <c r="D91" s="178">
        <v>43889.46041666667</v>
      </c>
      <c r="E91" s="170" t="s">
        <v>350</v>
      </c>
      <c r="F91" s="150" t="s">
        <v>937</v>
      </c>
      <c r="G91" s="150" t="s">
        <v>938</v>
      </c>
      <c r="H91" s="179">
        <v>43888.0</v>
      </c>
      <c r="I91" s="180" t="s">
        <v>939</v>
      </c>
      <c r="J91" s="180" t="s">
        <v>936</v>
      </c>
      <c r="K91" s="170" t="s">
        <v>394</v>
      </c>
      <c r="L91" s="170" t="s">
        <v>403</v>
      </c>
      <c r="M91" s="170" t="s">
        <v>31</v>
      </c>
      <c r="N91" s="170" t="s">
        <v>82</v>
      </c>
      <c r="O91" s="170" t="s">
        <v>35</v>
      </c>
      <c r="P91" s="171"/>
      <c r="Q91" s="170" t="s">
        <v>121</v>
      </c>
      <c r="R91" s="181"/>
      <c r="S91" s="182"/>
      <c r="T91" s="21">
        <v>4232500.0</v>
      </c>
      <c r="U91" s="184"/>
      <c r="V91" s="185"/>
      <c r="W91" s="96" t="str">
        <f t="shared" si="125"/>
        <v/>
      </c>
      <c r="X91" s="98">
        <f t="shared" si="126"/>
        <v>4232500</v>
      </c>
      <c r="Y91" s="99" t="str">
        <f t="shared" si="127"/>
        <v>$4M - $6M</v>
      </c>
      <c r="Z91" s="170" t="s">
        <v>36</v>
      </c>
      <c r="AA91" s="170" t="s">
        <v>87</v>
      </c>
      <c r="AB91" s="170" t="s">
        <v>88</v>
      </c>
      <c r="AC91" s="170" t="s">
        <v>493</v>
      </c>
      <c r="AD91" s="170" t="s">
        <v>39</v>
      </c>
      <c r="AE91" s="170" t="s">
        <v>89</v>
      </c>
      <c r="AF91" s="170" t="s">
        <v>469</v>
      </c>
      <c r="AG91" s="184">
        <v>4.9E10</v>
      </c>
      <c r="AH91" s="97" t="str">
        <f t="shared" si="128"/>
        <v>$25B-$50B</v>
      </c>
      <c r="AI91" s="184">
        <v>4.9E10</v>
      </c>
      <c r="AJ91" s="97" t="str">
        <f t="shared" si="129"/>
        <v>$25B-$50B</v>
      </c>
      <c r="AK91" s="186">
        <v>0.029</v>
      </c>
      <c r="AL91" s="88" t="str">
        <f t="shared" si="130"/>
        <v>0%-10%</v>
      </c>
      <c r="AM91" s="169">
        <v>1000.0</v>
      </c>
      <c r="AN91" s="170" t="s">
        <v>89</v>
      </c>
      <c r="AO91" s="170" t="s">
        <v>89</v>
      </c>
      <c r="AP91" s="170" t="s">
        <v>40</v>
      </c>
      <c r="AQ91" s="100" t="s">
        <v>89</v>
      </c>
      <c r="AR91" s="100" t="s">
        <v>39</v>
      </c>
      <c r="AS91" s="170" t="s">
        <v>469</v>
      </c>
      <c r="AT91" s="170" t="s">
        <v>469</v>
      </c>
      <c r="AU91" s="170" t="s">
        <v>469</v>
      </c>
      <c r="AV91" s="170" t="s">
        <v>469</v>
      </c>
      <c r="AW91" s="184">
        <v>0.0</v>
      </c>
      <c r="AX91" s="96" t="str">
        <f t="shared" si="131"/>
        <v>&lt; $10K</v>
      </c>
      <c r="AY91" s="184">
        <v>2890.0</v>
      </c>
      <c r="AZ91" s="184">
        <v>250000.0</v>
      </c>
      <c r="BA91" s="103" t="str">
        <f t="shared" si="132"/>
        <v>$100K - $500K</v>
      </c>
      <c r="BB91" s="103">
        <f t="shared" si="133"/>
        <v>0.01156</v>
      </c>
      <c r="BC91" s="103" t="str">
        <f t="shared" si="134"/>
        <v>&lt; 10%</v>
      </c>
      <c r="BD91" s="170" t="s">
        <v>41</v>
      </c>
      <c r="BE91" s="171"/>
      <c r="BF91" s="170" t="s">
        <v>493</v>
      </c>
      <c r="BG91" s="170">
        <v>1.0</v>
      </c>
      <c r="BH91" s="169">
        <v>1.0</v>
      </c>
      <c r="BI91" s="90" t="s">
        <v>469</v>
      </c>
      <c r="BJ91" s="170" t="s">
        <v>469</v>
      </c>
      <c r="BK91" s="170" t="s">
        <v>469</v>
      </c>
      <c r="BL91" s="170" t="s">
        <v>469</v>
      </c>
      <c r="BM91" s="169">
        <v>2.0</v>
      </c>
      <c r="BN91" s="169">
        <v>4.0</v>
      </c>
      <c r="BO91" s="169">
        <v>2.0</v>
      </c>
      <c r="BP91" s="169">
        <v>2.0</v>
      </c>
      <c r="BQ91" s="108"/>
      <c r="BR91" s="15">
        <v>8.0</v>
      </c>
      <c r="BS91" s="15">
        <v>0.0</v>
      </c>
      <c r="BT91" s="15">
        <v>0.0</v>
      </c>
      <c r="BU91" s="15">
        <v>26.0</v>
      </c>
      <c r="BV91" s="15" t="s">
        <v>469</v>
      </c>
      <c r="BW91" s="108"/>
      <c r="CC91" s="108"/>
      <c r="CI91" s="108"/>
      <c r="CO91" s="108"/>
      <c r="CU91" s="108"/>
      <c r="DA91" s="108"/>
      <c r="DG91" s="108"/>
      <c r="DM91" s="108"/>
      <c r="DS91" s="108"/>
      <c r="DT91" s="108"/>
      <c r="DU91" s="108"/>
      <c r="DW91" s="109"/>
      <c r="DX91" s="110">
        <f t="shared" si="13"/>
        <v>8</v>
      </c>
      <c r="DY91" s="111">
        <f t="shared" ref="DY91:DZ91" si="241">sum(BS91,BY91,CE91,CK91,CQ91,CW91,DC91,DI91,DO91)</f>
        <v>0</v>
      </c>
      <c r="DZ91" s="111">
        <f t="shared" si="241"/>
        <v>0</v>
      </c>
      <c r="EA91" s="110">
        <f t="shared" si="15"/>
        <v>26</v>
      </c>
      <c r="EB91" s="99" t="str">
        <f t="shared" si="16"/>
        <v>20 - 34</v>
      </c>
      <c r="EC91" s="112"/>
      <c r="ED91" s="113">
        <f t="shared" si="17"/>
        <v>4.4</v>
      </c>
      <c r="EE91" s="114" t="str">
        <f>IF(V91 &lt;&gt; "", 1+((V91-MIN(discount_rates))*(4)/(MAX(discount_rates) - MIN(discount_rates))), "")</f>
        <v/>
      </c>
      <c r="EF91" s="114" t="str">
        <f>IF(Q91="Debt", (1+((S91-MIN(interest_rates))*(4)/(MAX(interest_rates) - MIN(interest_rates)))), "")</f>
        <v/>
      </c>
      <c r="EG91" s="114" t="str">
        <f>IF(OR(Q91="Revenue Share", Q91="Profit Share"), (1+((R91-MIN(return_mutiples))*(4)/(MAX(return_mutiples) - MIN(return_mutiples)))), "")</f>
        <v/>
      </c>
      <c r="EH91" s="115">
        <f t="shared" si="18"/>
        <v>4.4</v>
      </c>
      <c r="EI91" s="116" t="str">
        <f t="shared" si="19"/>
        <v>Equity - Common</v>
      </c>
      <c r="EJ91" s="117">
        <f t="shared" si="20"/>
        <v>0.3287671233</v>
      </c>
      <c r="EK91" s="116" t="str">
        <f t="shared" si="21"/>
        <v>Early</v>
      </c>
      <c r="EL91" s="112"/>
      <c r="EM91" s="118">
        <f t="shared" si="22"/>
        <v>3.6</v>
      </c>
      <c r="EN91" s="118">
        <f t="shared" si="23"/>
        <v>1.7</v>
      </c>
      <c r="EO91" s="119">
        <f t="shared" si="24"/>
        <v>5.3</v>
      </c>
      <c r="EP91" s="115">
        <f>1+((EO91-MIN(market_ratings_sums))*(4)/(MAX(market_ratings_sums) - MIN(market_ratings_sums)))</f>
        <v>2.824561404</v>
      </c>
      <c r="EQ91" s="116" t="str">
        <f t="shared" si="25"/>
        <v>No</v>
      </c>
      <c r="ER91" s="112"/>
      <c r="ES91" s="123">
        <f>1+((DX91-MIN(industry_experiences))*(4)/(MAX(industry_experiences) - MIN(industry_experiences)))</f>
        <v>1.761904762</v>
      </c>
      <c r="ET91" s="123">
        <f>1+((DY91-MIN(previous_startups))*(4)/(MAX(previous_startups) - MIN(previous_startups)))</f>
        <v>1</v>
      </c>
      <c r="EU91" s="123">
        <f>1+((DZ91-MIN(exits))*(4)/(MAX(exits) - MIN(exits)))</f>
        <v>1</v>
      </c>
      <c r="EV91" s="119">
        <f t="shared" si="26"/>
        <v>3.761904762</v>
      </c>
      <c r="EW91" s="124">
        <f>1+((EV91-MIN(team_ratings_sums))*(4)/(MAX(team_ratings_sums) - MIN(team_ratings_sums)))</f>
        <v>1.417391304</v>
      </c>
      <c r="EX91" s="116" t="str">
        <f t="shared" si="27"/>
        <v>20 - 34</v>
      </c>
      <c r="EY91" s="125">
        <f t="shared" si="28"/>
        <v>0.2054794521</v>
      </c>
      <c r="EZ91" s="116">
        <f t="shared" si="29"/>
        <v>1</v>
      </c>
      <c r="FA91" s="125">
        <f t="shared" si="30"/>
        <v>0.4383561644</v>
      </c>
      <c r="FB91" s="116">
        <f t="shared" si="31"/>
        <v>4</v>
      </c>
      <c r="FC91" s="125">
        <f t="shared" si="32"/>
        <v>0.1369863014</v>
      </c>
      <c r="FD91" s="116" t="str">
        <f t="shared" si="33"/>
        <v>No</v>
      </c>
      <c r="FE91" s="125">
        <f t="shared" si="34"/>
        <v>0.7534246575</v>
      </c>
      <c r="FF91" s="116" t="str">
        <f t="shared" ref="FF91:FH91" si="242">BJ91</f>
        <v>No</v>
      </c>
      <c r="FG91" s="116" t="str">
        <f t="shared" si="242"/>
        <v>No</v>
      </c>
      <c r="FH91" s="116" t="str">
        <f t="shared" si="242"/>
        <v>No</v>
      </c>
      <c r="FI91" s="112"/>
      <c r="FJ91" s="116" t="str">
        <f t="shared" si="36"/>
        <v>Transactional</v>
      </c>
      <c r="FK91" s="125">
        <f t="shared" si="37"/>
        <v>0.602739726</v>
      </c>
      <c r="FL91" s="116" t="str">
        <f t="shared" si="38"/>
        <v>B2C</v>
      </c>
      <c r="FM91" s="125">
        <f t="shared" si="39"/>
        <v>0.397260274</v>
      </c>
      <c r="FN91" s="116" t="str">
        <f t="shared" si="40"/>
        <v>High</v>
      </c>
      <c r="FO91" s="125">
        <f t="shared" si="41"/>
        <v>0.5616438356</v>
      </c>
      <c r="FP91" s="116" t="str">
        <f t="shared" si="42"/>
        <v>Low</v>
      </c>
      <c r="FQ91" s="125">
        <f t="shared" si="43"/>
        <v>0.3561643836</v>
      </c>
      <c r="FR91" s="112"/>
      <c r="FS91" s="123">
        <f t="shared" si="44"/>
        <v>1</v>
      </c>
      <c r="FT91" s="123">
        <f t="shared" si="45"/>
        <v>1</v>
      </c>
      <c r="FU91" s="123">
        <f t="shared" si="46"/>
        <v>5</v>
      </c>
      <c r="FV91" s="123">
        <f t="shared" si="47"/>
        <v>3.7</v>
      </c>
      <c r="FW91" s="119">
        <f t="shared" si="48"/>
        <v>10.7</v>
      </c>
      <c r="FX91" s="115">
        <f>1+((FW91-MIN(performance_ratings_sums))*(4)/(MAX(performance_ratings_sums) - MIN(performance_ratings_sums)))</f>
        <v>2.495327103</v>
      </c>
      <c r="FY91" s="116" t="str">
        <f t="shared" si="49"/>
        <v>Pre-Product</v>
      </c>
      <c r="FZ91" s="126">
        <f t="shared" si="50"/>
        <v>0.2328767123</v>
      </c>
      <c r="GA91" s="112"/>
      <c r="GB91" s="127">
        <f t="shared" si="51"/>
        <v>1</v>
      </c>
      <c r="GC91" s="116" t="str">
        <f t="shared" si="52"/>
        <v>No</v>
      </c>
      <c r="GD91" s="126">
        <f t="shared" si="53"/>
        <v>0.7671232877</v>
      </c>
      <c r="GE91" s="126" t="str">
        <f t="shared" si="54"/>
        <v>Low</v>
      </c>
      <c r="GF91" s="126">
        <f t="shared" si="55"/>
        <v>0.5479452055</v>
      </c>
      <c r="GG91" s="126" t="str">
        <f t="shared" si="56"/>
        <v>High</v>
      </c>
      <c r="GH91" s="126">
        <f t="shared" si="57"/>
        <v>0.8082191781</v>
      </c>
      <c r="GI91" s="112"/>
      <c r="GJ91" s="116"/>
      <c r="GK91" s="119">
        <f t="shared" si="58"/>
        <v>12.13727981</v>
      </c>
      <c r="GL91" s="128">
        <f>1+((GK91-MIN(ratings_sums))*(4)/(MAX(ratings_sums) - MIN(ratings_sums)))</f>
        <v>2.516798743</v>
      </c>
    </row>
    <row r="92" ht="15.75" customHeight="1">
      <c r="A92" s="176" t="s">
        <v>702</v>
      </c>
      <c r="B92" s="169">
        <v>1800753.0</v>
      </c>
      <c r="C92" s="177" t="s">
        <v>940</v>
      </c>
      <c r="D92" s="178">
        <v>43889.46319444444</v>
      </c>
      <c r="E92" s="170" t="s">
        <v>381</v>
      </c>
      <c r="F92" s="150" t="s">
        <v>941</v>
      </c>
      <c r="G92" s="150" t="s">
        <v>942</v>
      </c>
      <c r="H92" s="190">
        <v>43888.0</v>
      </c>
      <c r="I92" s="180" t="s">
        <v>943</v>
      </c>
      <c r="J92" s="180" t="s">
        <v>940</v>
      </c>
      <c r="K92" s="170" t="s">
        <v>457</v>
      </c>
      <c r="L92" s="170" t="s">
        <v>323</v>
      </c>
      <c r="M92" s="170" t="s">
        <v>31</v>
      </c>
      <c r="N92" s="170" t="s">
        <v>101</v>
      </c>
      <c r="O92" s="170" t="s">
        <v>35</v>
      </c>
      <c r="P92" s="171"/>
      <c r="Q92" s="170" t="s">
        <v>121</v>
      </c>
      <c r="R92" s="181"/>
      <c r="S92" s="182"/>
      <c r="T92" s="21">
        <v>1.0E7</v>
      </c>
      <c r="U92" s="184"/>
      <c r="V92" s="185"/>
      <c r="W92" s="96" t="str">
        <f t="shared" si="125"/>
        <v/>
      </c>
      <c r="X92" s="98">
        <f t="shared" si="126"/>
        <v>10000000</v>
      </c>
      <c r="Y92" s="99" t="str">
        <f t="shared" si="127"/>
        <v>$8M - $10M</v>
      </c>
      <c r="Z92" s="170" t="s">
        <v>36</v>
      </c>
      <c r="AA92" s="170" t="s">
        <v>87</v>
      </c>
      <c r="AB92" s="170" t="s">
        <v>88</v>
      </c>
      <c r="AC92" s="170" t="s">
        <v>493</v>
      </c>
      <c r="AD92" s="170" t="s">
        <v>39</v>
      </c>
      <c r="AE92" s="170" t="s">
        <v>89</v>
      </c>
      <c r="AF92" s="170" t="s">
        <v>469</v>
      </c>
      <c r="AG92" s="184">
        <v>8.962E9</v>
      </c>
      <c r="AH92" s="97" t="str">
        <f t="shared" si="128"/>
        <v>$5B-$10B</v>
      </c>
      <c r="AI92" s="184">
        <v>8.962E9</v>
      </c>
      <c r="AJ92" s="97" t="str">
        <f t="shared" si="129"/>
        <v>$5B-$10B</v>
      </c>
      <c r="AK92" s="186">
        <v>0.062</v>
      </c>
      <c r="AL92" s="88" t="str">
        <f t="shared" si="130"/>
        <v>0%-10%</v>
      </c>
      <c r="AM92" s="169">
        <v>10.0</v>
      </c>
      <c r="AN92" s="170" t="s">
        <v>39</v>
      </c>
      <c r="AO92" s="170" t="s">
        <v>89</v>
      </c>
      <c r="AP92" s="170" t="s">
        <v>90</v>
      </c>
      <c r="AQ92" s="100" t="s">
        <v>89</v>
      </c>
      <c r="AR92" s="100" t="s">
        <v>89</v>
      </c>
      <c r="AS92" s="170" t="s">
        <v>469</v>
      </c>
      <c r="AT92" s="170" t="s">
        <v>469</v>
      </c>
      <c r="AU92" s="170" t="s">
        <v>493</v>
      </c>
      <c r="AV92" s="170" t="s">
        <v>493</v>
      </c>
      <c r="AW92" s="184">
        <v>329427.0</v>
      </c>
      <c r="AX92" s="96" t="str">
        <f t="shared" si="131"/>
        <v>$100K - $500K</v>
      </c>
      <c r="AY92" s="184"/>
      <c r="AZ92" s="184">
        <v>0.0</v>
      </c>
      <c r="BA92" s="103" t="str">
        <f t="shared" si="132"/>
        <v>&lt; $10K</v>
      </c>
      <c r="BB92" s="103">
        <f t="shared" si="133"/>
        <v>1</v>
      </c>
      <c r="BC92" s="103" t="str">
        <f t="shared" si="134"/>
        <v>90% - 100%</v>
      </c>
      <c r="BD92" s="170" t="s">
        <v>124</v>
      </c>
      <c r="BE92" s="171"/>
      <c r="BF92" s="170" t="s">
        <v>469</v>
      </c>
      <c r="BG92" s="169">
        <v>0.0</v>
      </c>
      <c r="BH92" s="169">
        <v>1.0</v>
      </c>
      <c r="BI92" s="90" t="s">
        <v>469</v>
      </c>
      <c r="BJ92" s="170" t="s">
        <v>469</v>
      </c>
      <c r="BK92" s="170" t="s">
        <v>469</v>
      </c>
      <c r="BL92" s="170" t="s">
        <v>469</v>
      </c>
      <c r="BM92" s="169">
        <v>2.0</v>
      </c>
      <c r="BN92" s="169">
        <v>7.0</v>
      </c>
      <c r="BO92" s="169">
        <v>1.0</v>
      </c>
      <c r="BP92" s="169">
        <v>0.0</v>
      </c>
      <c r="BQ92" s="108"/>
      <c r="BR92" s="15">
        <v>3.0</v>
      </c>
      <c r="BS92" s="15">
        <v>0.0</v>
      </c>
      <c r="BT92" s="15">
        <v>0.0</v>
      </c>
      <c r="BU92" s="15">
        <v>36.0</v>
      </c>
      <c r="BV92" s="15" t="s">
        <v>469</v>
      </c>
      <c r="BW92" s="108"/>
      <c r="CC92" s="108"/>
      <c r="CI92" s="108"/>
      <c r="CO92" s="108"/>
      <c r="CU92" s="108"/>
      <c r="DA92" s="108"/>
      <c r="DG92" s="108"/>
      <c r="DM92" s="108"/>
      <c r="DS92" s="108"/>
      <c r="DT92" s="108"/>
      <c r="DU92" s="108"/>
      <c r="DW92" s="109"/>
      <c r="DX92" s="110">
        <f t="shared" si="13"/>
        <v>3</v>
      </c>
      <c r="DY92" s="111">
        <f t="shared" ref="DY92:DZ92" si="243">sum(BS92,BY92,CE92,CK92,CQ92,CW92,DC92,DI92,DO92)</f>
        <v>0</v>
      </c>
      <c r="DZ92" s="111">
        <f t="shared" si="243"/>
        <v>0</v>
      </c>
      <c r="EA92" s="110">
        <f t="shared" si="15"/>
        <v>36</v>
      </c>
      <c r="EB92" s="99" t="str">
        <f t="shared" si="16"/>
        <v>35 - 54</v>
      </c>
      <c r="EC92" s="112"/>
      <c r="ED92" s="113">
        <f t="shared" si="17"/>
        <v>4</v>
      </c>
      <c r="EE92" s="114" t="str">
        <f>IF(V92 &lt;&gt; "", 1+((V92-MIN(discount_rates))*(4)/(MAX(discount_rates) - MIN(discount_rates))), "")</f>
        <v/>
      </c>
      <c r="EF92" s="114" t="str">
        <f>IF(Q92="Debt", (1+((S92-MIN(interest_rates))*(4)/(MAX(interest_rates) - MIN(interest_rates)))), "")</f>
        <v/>
      </c>
      <c r="EG92" s="114" t="str">
        <f>IF(OR(Q92="Revenue Share", Q92="Profit Share"), (1+((R92-MIN(return_mutiples))*(4)/(MAX(return_mutiples) - MIN(return_mutiples)))), "")</f>
        <v/>
      </c>
      <c r="EH92" s="115">
        <f t="shared" si="18"/>
        <v>4</v>
      </c>
      <c r="EI92" s="116" t="str">
        <f t="shared" si="19"/>
        <v>Equity - Common</v>
      </c>
      <c r="EJ92" s="117">
        <f t="shared" si="20"/>
        <v>0.3287671233</v>
      </c>
      <c r="EK92" s="116" t="str">
        <f t="shared" si="21"/>
        <v>Early</v>
      </c>
      <c r="EL92" s="112"/>
      <c r="EM92" s="118">
        <f t="shared" si="22"/>
        <v>3</v>
      </c>
      <c r="EN92" s="118">
        <f t="shared" si="23"/>
        <v>1.7</v>
      </c>
      <c r="EO92" s="119">
        <f t="shared" si="24"/>
        <v>4.7</v>
      </c>
      <c r="EP92" s="115">
        <f>1+((EO92-MIN(market_ratings_sums))*(4)/(MAX(market_ratings_sums) - MIN(market_ratings_sums)))</f>
        <v>2.403508772</v>
      </c>
      <c r="EQ92" s="116" t="str">
        <f t="shared" si="25"/>
        <v>No</v>
      </c>
      <c r="ER92" s="112"/>
      <c r="ES92" s="123">
        <f>1+((DX92-MIN(industry_experiences))*(4)/(MAX(industry_experiences) - MIN(industry_experiences)))</f>
        <v>1.285714286</v>
      </c>
      <c r="ET92" s="123">
        <f>1+((DY92-MIN(previous_startups))*(4)/(MAX(previous_startups) - MIN(previous_startups)))</f>
        <v>1</v>
      </c>
      <c r="EU92" s="123">
        <f>1+((DZ92-MIN(exits))*(4)/(MAX(exits) - MIN(exits)))</f>
        <v>1</v>
      </c>
      <c r="EV92" s="119">
        <f t="shared" si="26"/>
        <v>3.285714286</v>
      </c>
      <c r="EW92" s="124">
        <f>1+((EV92-MIN(team_ratings_sums))*(4)/(MAX(team_ratings_sums) - MIN(team_ratings_sums)))</f>
        <v>1.156521739</v>
      </c>
      <c r="EX92" s="116" t="str">
        <f t="shared" si="27"/>
        <v>35 - 54</v>
      </c>
      <c r="EY92" s="125">
        <f t="shared" si="28"/>
        <v>0.6849315068</v>
      </c>
      <c r="EZ92" s="116">
        <f t="shared" si="29"/>
        <v>1</v>
      </c>
      <c r="FA92" s="125">
        <f t="shared" si="30"/>
        <v>0.4383561644</v>
      </c>
      <c r="FB92" s="116">
        <f t="shared" si="31"/>
        <v>7</v>
      </c>
      <c r="FC92" s="125">
        <f t="shared" si="32"/>
        <v>0.04109589041</v>
      </c>
      <c r="FD92" s="116" t="str">
        <f t="shared" si="33"/>
        <v>No</v>
      </c>
      <c r="FE92" s="125">
        <f t="shared" si="34"/>
        <v>0.7534246575</v>
      </c>
      <c r="FF92" s="116" t="str">
        <f t="shared" ref="FF92:FH92" si="244">BJ92</f>
        <v>No</v>
      </c>
      <c r="FG92" s="116" t="str">
        <f t="shared" si="244"/>
        <v>No</v>
      </c>
      <c r="FH92" s="116" t="str">
        <f t="shared" si="244"/>
        <v>No</v>
      </c>
      <c r="FI92" s="112"/>
      <c r="FJ92" s="116" t="str">
        <f t="shared" si="36"/>
        <v>Transactional</v>
      </c>
      <c r="FK92" s="125">
        <f t="shared" si="37"/>
        <v>0.602739726</v>
      </c>
      <c r="FL92" s="116" t="str">
        <f t="shared" si="38"/>
        <v>B2C</v>
      </c>
      <c r="FM92" s="125">
        <f t="shared" si="39"/>
        <v>0.397260274</v>
      </c>
      <c r="FN92" s="116" t="str">
        <f t="shared" si="40"/>
        <v>High</v>
      </c>
      <c r="FO92" s="125">
        <f t="shared" si="41"/>
        <v>0.5616438356</v>
      </c>
      <c r="FP92" s="116" t="str">
        <f t="shared" si="42"/>
        <v>Low</v>
      </c>
      <c r="FQ92" s="125">
        <f t="shared" si="43"/>
        <v>0.3561643836</v>
      </c>
      <c r="FR92" s="112"/>
      <c r="FS92" s="123">
        <f t="shared" si="44"/>
        <v>5</v>
      </c>
      <c r="FT92" s="123">
        <f t="shared" si="45"/>
        <v>2.3</v>
      </c>
      <c r="FU92" s="123">
        <f t="shared" si="46"/>
        <v>1</v>
      </c>
      <c r="FV92" s="123">
        <f t="shared" si="47"/>
        <v>5</v>
      </c>
      <c r="FW92" s="119">
        <f t="shared" si="48"/>
        <v>13.3</v>
      </c>
      <c r="FX92" s="115">
        <f>1+((FW92-MIN(performance_ratings_sums))*(4)/(MAX(performance_ratings_sums) - MIN(performance_ratings_sums)))</f>
        <v>3.46728972</v>
      </c>
      <c r="FY92" s="116" t="str">
        <f t="shared" si="49"/>
        <v>Profitable</v>
      </c>
      <c r="FZ92" s="126">
        <f t="shared" si="50"/>
        <v>0.06849315068</v>
      </c>
      <c r="GA92" s="112"/>
      <c r="GB92" s="127">
        <f t="shared" si="51"/>
        <v>3</v>
      </c>
      <c r="GC92" s="116" t="str">
        <f t="shared" si="52"/>
        <v>No</v>
      </c>
      <c r="GD92" s="126">
        <f t="shared" si="53"/>
        <v>0.7671232877</v>
      </c>
      <c r="GE92" s="126" t="str">
        <f t="shared" si="54"/>
        <v>Low</v>
      </c>
      <c r="GF92" s="126">
        <f t="shared" si="55"/>
        <v>0.5479452055</v>
      </c>
      <c r="GG92" s="126" t="str">
        <f t="shared" si="56"/>
        <v>Low</v>
      </c>
      <c r="GH92" s="126">
        <f t="shared" si="57"/>
        <v>0.1917808219</v>
      </c>
      <c r="GI92" s="112"/>
      <c r="GJ92" s="116"/>
      <c r="GK92" s="119">
        <f t="shared" si="58"/>
        <v>14.02732023</v>
      </c>
      <c r="GL92" s="128">
        <f>1+((GK92-MIN(ratings_sums))*(4)/(MAX(ratings_sums) - MIN(ratings_sums)))</f>
        <v>3.096738684</v>
      </c>
    </row>
    <row r="93" ht="15.75" customHeight="1">
      <c r="A93" s="176" t="s">
        <v>702</v>
      </c>
      <c r="B93" s="169">
        <v>1783128.0</v>
      </c>
      <c r="C93" s="177" t="s">
        <v>944</v>
      </c>
      <c r="D93" s="178">
        <v>43889.467361111114</v>
      </c>
      <c r="E93" s="170" t="s">
        <v>381</v>
      </c>
      <c r="F93" s="150" t="s">
        <v>945</v>
      </c>
      <c r="G93" s="150" t="s">
        <v>946</v>
      </c>
      <c r="H93" s="190">
        <v>43888.0</v>
      </c>
      <c r="I93" s="180" t="s">
        <v>947</v>
      </c>
      <c r="J93" s="180" t="s">
        <v>944</v>
      </c>
      <c r="K93" s="170" t="s">
        <v>464</v>
      </c>
      <c r="L93" s="170" t="s">
        <v>395</v>
      </c>
      <c r="M93" s="170" t="s">
        <v>31</v>
      </c>
      <c r="N93" s="170" t="s">
        <v>82</v>
      </c>
      <c r="O93" s="170" t="s">
        <v>35</v>
      </c>
      <c r="P93" s="171"/>
      <c r="Q93" s="170" t="s">
        <v>121</v>
      </c>
      <c r="R93" s="181"/>
      <c r="S93" s="182"/>
      <c r="T93" s="21">
        <v>9200000.0</v>
      </c>
      <c r="U93" s="184"/>
      <c r="V93" s="185"/>
      <c r="W93" s="96" t="str">
        <f t="shared" si="125"/>
        <v/>
      </c>
      <c r="X93" s="98">
        <f t="shared" si="126"/>
        <v>9200000</v>
      </c>
      <c r="Y93" s="99" t="str">
        <f t="shared" si="127"/>
        <v>$8M - $10M</v>
      </c>
      <c r="Z93" s="170" t="s">
        <v>36</v>
      </c>
      <c r="AA93" s="170" t="s">
        <v>123</v>
      </c>
      <c r="AB93" s="170" t="s">
        <v>88</v>
      </c>
      <c r="AC93" s="170" t="s">
        <v>493</v>
      </c>
      <c r="AD93" s="170" t="s">
        <v>39</v>
      </c>
      <c r="AE93" s="170" t="s">
        <v>39</v>
      </c>
      <c r="AF93" s="170" t="s">
        <v>469</v>
      </c>
      <c r="AG93" s="184">
        <v>7.611630249E9</v>
      </c>
      <c r="AH93" s="97" t="str">
        <f t="shared" si="128"/>
        <v>$5B-$10B</v>
      </c>
      <c r="AI93" s="184">
        <v>7.611630249E9</v>
      </c>
      <c r="AJ93" s="97" t="str">
        <f t="shared" si="129"/>
        <v>$5B-$10B</v>
      </c>
      <c r="AK93" s="186">
        <v>0.475</v>
      </c>
      <c r="AL93" s="88" t="str">
        <f t="shared" si="130"/>
        <v>40%-50%</v>
      </c>
      <c r="AM93" s="169">
        <v>6.0</v>
      </c>
      <c r="AN93" s="170" t="s">
        <v>39</v>
      </c>
      <c r="AO93" s="170" t="s">
        <v>39</v>
      </c>
      <c r="AP93" s="170" t="s">
        <v>90</v>
      </c>
      <c r="AQ93" s="100" t="s">
        <v>39</v>
      </c>
      <c r="AR93" s="100" t="s">
        <v>89</v>
      </c>
      <c r="AS93" s="170" t="s">
        <v>469</v>
      </c>
      <c r="AT93" s="170" t="s">
        <v>493</v>
      </c>
      <c r="AU93" s="170" t="s">
        <v>469</v>
      </c>
      <c r="AV93" s="170" t="s">
        <v>469</v>
      </c>
      <c r="AW93" s="184">
        <v>0.0</v>
      </c>
      <c r="AX93" s="96" t="str">
        <f t="shared" si="131"/>
        <v>&lt; $10K</v>
      </c>
      <c r="AY93" s="184">
        <v>5089.0</v>
      </c>
      <c r="AZ93" s="184">
        <v>3000000.0</v>
      </c>
      <c r="BA93" s="103" t="str">
        <f t="shared" si="132"/>
        <v>$2M - $3M</v>
      </c>
      <c r="BB93" s="103">
        <f t="shared" si="133"/>
        <v>0.001696333333</v>
      </c>
      <c r="BC93" s="103" t="str">
        <f t="shared" si="134"/>
        <v>&lt; 10%</v>
      </c>
      <c r="BD93" s="170" t="s">
        <v>91</v>
      </c>
      <c r="BE93" s="171"/>
      <c r="BF93" s="170" t="s">
        <v>493</v>
      </c>
      <c r="BG93" s="169">
        <v>1.0</v>
      </c>
      <c r="BH93" s="169">
        <v>2.0</v>
      </c>
      <c r="BI93" s="170" t="s">
        <v>493</v>
      </c>
      <c r="BJ93" s="170" t="s">
        <v>469</v>
      </c>
      <c r="BK93" s="170" t="s">
        <v>469</v>
      </c>
      <c r="BL93" s="170" t="s">
        <v>469</v>
      </c>
      <c r="BM93" s="169">
        <v>2.0</v>
      </c>
      <c r="BN93" s="169">
        <v>4.0</v>
      </c>
      <c r="BO93" s="169">
        <v>0.0</v>
      </c>
      <c r="BP93" s="169">
        <v>0.0</v>
      </c>
      <c r="BQ93" s="108"/>
      <c r="BR93" s="15">
        <v>6.0</v>
      </c>
      <c r="BS93" s="15">
        <v>1.0</v>
      </c>
      <c r="BT93" s="15">
        <v>0.0</v>
      </c>
      <c r="BU93" s="15">
        <v>53.0</v>
      </c>
      <c r="BV93" s="15" t="s">
        <v>493</v>
      </c>
      <c r="BW93" s="108"/>
      <c r="BX93" s="15">
        <v>6.0</v>
      </c>
      <c r="BY93" s="15">
        <v>0.0</v>
      </c>
      <c r="BZ93" s="15">
        <v>0.0</v>
      </c>
      <c r="CA93" s="15">
        <v>28.0</v>
      </c>
      <c r="CC93" s="108"/>
      <c r="CI93" s="108"/>
      <c r="CO93" s="108"/>
      <c r="CU93" s="108"/>
      <c r="DA93" s="108"/>
      <c r="DG93" s="108"/>
      <c r="DM93" s="108"/>
      <c r="DS93" s="108"/>
      <c r="DT93" s="108"/>
      <c r="DU93" s="108"/>
      <c r="DW93" s="109"/>
      <c r="DX93" s="110">
        <f t="shared" si="13"/>
        <v>6</v>
      </c>
      <c r="DY93" s="111">
        <f t="shared" ref="DY93:DZ93" si="245">sum(BS93,BY93,CE93,CK93,CQ93,CW93,DC93,DI93,DO93)</f>
        <v>1</v>
      </c>
      <c r="DZ93" s="111">
        <f t="shared" si="245"/>
        <v>0</v>
      </c>
      <c r="EA93" s="110">
        <f t="shared" si="15"/>
        <v>40.5</v>
      </c>
      <c r="EB93" s="99" t="str">
        <f t="shared" si="16"/>
        <v>35 - 54</v>
      </c>
      <c r="EC93" s="112"/>
      <c r="ED93" s="113">
        <f t="shared" si="17"/>
        <v>4</v>
      </c>
      <c r="EE93" s="114" t="str">
        <f>IF(V93 &lt;&gt; "", 1+((V93-MIN(discount_rates))*(4)/(MAX(discount_rates) - MIN(discount_rates))), "")</f>
        <v/>
      </c>
      <c r="EF93" s="114" t="str">
        <f>IF(Q93="Debt", (1+((S93-MIN(interest_rates))*(4)/(MAX(interest_rates) - MIN(interest_rates)))), "")</f>
        <v/>
      </c>
      <c r="EG93" s="114" t="str">
        <f>IF(OR(Q93="Revenue Share", Q93="Profit Share"), (1+((R93-MIN(return_mutiples))*(4)/(MAX(return_mutiples) - MIN(return_mutiples)))), "")</f>
        <v/>
      </c>
      <c r="EH93" s="115">
        <f t="shared" si="18"/>
        <v>4</v>
      </c>
      <c r="EI93" s="116" t="str">
        <f t="shared" si="19"/>
        <v>Equity - Common</v>
      </c>
      <c r="EJ93" s="117">
        <f t="shared" si="20"/>
        <v>0.3287671233</v>
      </c>
      <c r="EK93" s="116" t="str">
        <f t="shared" si="21"/>
        <v>Early</v>
      </c>
      <c r="EL93" s="112"/>
      <c r="EM93" s="118">
        <f t="shared" si="22"/>
        <v>3</v>
      </c>
      <c r="EN93" s="118">
        <f t="shared" si="23"/>
        <v>4.3</v>
      </c>
      <c r="EO93" s="119">
        <f t="shared" si="24"/>
        <v>7.3</v>
      </c>
      <c r="EP93" s="115">
        <f>1+((EO93-MIN(market_ratings_sums))*(4)/(MAX(market_ratings_sums) - MIN(market_ratings_sums)))</f>
        <v>4.228070175</v>
      </c>
      <c r="EQ93" s="116" t="str">
        <f t="shared" si="25"/>
        <v>No</v>
      </c>
      <c r="ER93" s="112"/>
      <c r="ES93" s="123">
        <f>1+((DX93-MIN(industry_experiences))*(4)/(MAX(industry_experiences) - MIN(industry_experiences)))</f>
        <v>1.571428571</v>
      </c>
      <c r="ET93" s="123">
        <f>1+((DY93-MIN(previous_startups))*(4)/(MAX(previous_startups) - MIN(previous_startups)))</f>
        <v>1.444444444</v>
      </c>
      <c r="EU93" s="123">
        <f>1+((DZ93-MIN(exits))*(4)/(MAX(exits) - MIN(exits)))</f>
        <v>1</v>
      </c>
      <c r="EV93" s="119">
        <f t="shared" si="26"/>
        <v>4.015873016</v>
      </c>
      <c r="EW93" s="124">
        <f>1+((EV93-MIN(team_ratings_sums))*(4)/(MAX(team_ratings_sums) - MIN(team_ratings_sums)))</f>
        <v>1.556521739</v>
      </c>
      <c r="EX93" s="116" t="str">
        <f t="shared" si="27"/>
        <v>35 - 54</v>
      </c>
      <c r="EY93" s="125">
        <f t="shared" si="28"/>
        <v>0.6849315068</v>
      </c>
      <c r="EZ93" s="116">
        <f t="shared" si="29"/>
        <v>2</v>
      </c>
      <c r="FA93" s="125">
        <f t="shared" si="30"/>
        <v>0.4520547945</v>
      </c>
      <c r="FB93" s="116">
        <f t="shared" si="31"/>
        <v>4</v>
      </c>
      <c r="FC93" s="125">
        <f t="shared" si="32"/>
        <v>0.1369863014</v>
      </c>
      <c r="FD93" s="116" t="str">
        <f t="shared" si="33"/>
        <v>Yes</v>
      </c>
      <c r="FE93" s="125">
        <f t="shared" si="34"/>
        <v>0.2465753425</v>
      </c>
      <c r="FF93" s="116" t="str">
        <f t="shared" ref="FF93:FH93" si="246">BJ93</f>
        <v>No</v>
      </c>
      <c r="FG93" s="116" t="str">
        <f t="shared" si="246"/>
        <v>No</v>
      </c>
      <c r="FH93" s="116" t="str">
        <f t="shared" si="246"/>
        <v>No</v>
      </c>
      <c r="FI93" s="112"/>
      <c r="FJ93" s="116" t="str">
        <f t="shared" si="36"/>
        <v>Transactional</v>
      </c>
      <c r="FK93" s="125">
        <f t="shared" si="37"/>
        <v>0.602739726</v>
      </c>
      <c r="FL93" s="116" t="str">
        <f t="shared" si="38"/>
        <v>B2B/B2C</v>
      </c>
      <c r="FM93" s="125">
        <f t="shared" si="39"/>
        <v>0.3287671233</v>
      </c>
      <c r="FN93" s="116" t="str">
        <f t="shared" si="40"/>
        <v>High</v>
      </c>
      <c r="FO93" s="125">
        <f t="shared" si="41"/>
        <v>0.5616438356</v>
      </c>
      <c r="FP93" s="116" t="str">
        <f t="shared" si="42"/>
        <v>High</v>
      </c>
      <c r="FQ93" s="125">
        <f t="shared" si="43"/>
        <v>0.6438356164</v>
      </c>
      <c r="FR93" s="112"/>
      <c r="FS93" s="123">
        <f t="shared" si="44"/>
        <v>1</v>
      </c>
      <c r="FT93" s="123">
        <f t="shared" si="45"/>
        <v>1</v>
      </c>
      <c r="FU93" s="123">
        <f t="shared" si="46"/>
        <v>5</v>
      </c>
      <c r="FV93" s="123">
        <f t="shared" si="47"/>
        <v>2.3</v>
      </c>
      <c r="FW93" s="119">
        <f t="shared" si="48"/>
        <v>9.3</v>
      </c>
      <c r="FX93" s="115">
        <f>1+((FW93-MIN(performance_ratings_sums))*(4)/(MAX(performance_ratings_sums) - MIN(performance_ratings_sums)))</f>
        <v>1.971962617</v>
      </c>
      <c r="FY93" s="116" t="str">
        <f t="shared" si="49"/>
        <v>Pre-Revenue</v>
      </c>
      <c r="FZ93" s="126">
        <f t="shared" si="50"/>
        <v>0.2054794521</v>
      </c>
      <c r="GA93" s="112"/>
      <c r="GB93" s="127">
        <f t="shared" si="51"/>
        <v>5</v>
      </c>
      <c r="GC93" s="116" t="str">
        <f t="shared" si="52"/>
        <v>Yes</v>
      </c>
      <c r="GD93" s="126">
        <f t="shared" si="53"/>
        <v>0.2328767123</v>
      </c>
      <c r="GE93" s="126" t="str">
        <f t="shared" si="54"/>
        <v>High</v>
      </c>
      <c r="GF93" s="126">
        <f t="shared" si="55"/>
        <v>0.4520547945</v>
      </c>
      <c r="GG93" s="126" t="str">
        <f t="shared" si="56"/>
        <v>Low</v>
      </c>
      <c r="GH93" s="126">
        <f t="shared" si="57"/>
        <v>0.1917808219</v>
      </c>
      <c r="GI93" s="112"/>
      <c r="GJ93" s="116"/>
      <c r="GK93" s="119">
        <f t="shared" si="58"/>
        <v>16.75655453</v>
      </c>
      <c r="GL93" s="128">
        <f>1+((GK93-MIN(ratings_sums))*(4)/(MAX(ratings_sums) - MIN(ratings_sums)))</f>
        <v>3.934176848</v>
      </c>
    </row>
    <row r="94" ht="15.75" customHeight="1">
      <c r="A94" s="176" t="s">
        <v>702</v>
      </c>
      <c r="B94" s="169">
        <v>1802761.0</v>
      </c>
      <c r="C94" s="177" t="s">
        <v>948</v>
      </c>
      <c r="D94" s="178">
        <v>43889.47083333333</v>
      </c>
      <c r="E94" s="170" t="s">
        <v>392</v>
      </c>
      <c r="F94" s="150" t="s">
        <v>949</v>
      </c>
      <c r="G94" s="150" t="s">
        <v>949</v>
      </c>
      <c r="H94" s="179">
        <v>43874.0</v>
      </c>
      <c r="I94" s="180" t="s">
        <v>950</v>
      </c>
      <c r="J94" s="180" t="s">
        <v>948</v>
      </c>
      <c r="K94" s="170" t="s">
        <v>449</v>
      </c>
      <c r="L94" s="170" t="s">
        <v>390</v>
      </c>
      <c r="M94" s="170" t="s">
        <v>31</v>
      </c>
      <c r="N94" s="170" t="s">
        <v>101</v>
      </c>
      <c r="O94" s="170" t="s">
        <v>35</v>
      </c>
      <c r="P94" s="171"/>
      <c r="Q94" s="170" t="s">
        <v>135</v>
      </c>
      <c r="R94" s="181"/>
      <c r="S94" s="182"/>
      <c r="T94" s="21">
        <v>3600000.0</v>
      </c>
      <c r="U94" s="184"/>
      <c r="V94" s="185"/>
      <c r="W94" s="96" t="str">
        <f t="shared" si="125"/>
        <v/>
      </c>
      <c r="X94" s="98">
        <f t="shared" si="126"/>
        <v>3600000</v>
      </c>
      <c r="Y94" s="99" t="str">
        <f t="shared" si="127"/>
        <v>$2M - $4M</v>
      </c>
      <c r="Z94" s="170" t="s">
        <v>36</v>
      </c>
      <c r="AA94" s="170" t="s">
        <v>87</v>
      </c>
      <c r="AB94" s="170" t="s">
        <v>38</v>
      </c>
      <c r="AC94" s="170" t="s">
        <v>469</v>
      </c>
      <c r="AD94" s="170" t="s">
        <v>89</v>
      </c>
      <c r="AE94" s="170" t="s">
        <v>89</v>
      </c>
      <c r="AF94" s="170" t="s">
        <v>469</v>
      </c>
      <c r="AG94" s="184">
        <v>1.813E10</v>
      </c>
      <c r="AH94" s="97" t="str">
        <f t="shared" si="128"/>
        <v>$10B-$25B</v>
      </c>
      <c r="AI94" s="184">
        <v>1.813E10</v>
      </c>
      <c r="AJ94" s="97" t="str">
        <f t="shared" si="129"/>
        <v>$10B-$25B</v>
      </c>
      <c r="AK94" s="186">
        <v>0.002</v>
      </c>
      <c r="AL94" s="88" t="str">
        <f t="shared" si="130"/>
        <v>0%-10%</v>
      </c>
      <c r="AM94" s="169">
        <v>1000.0</v>
      </c>
      <c r="AN94" s="170" t="s">
        <v>89</v>
      </c>
      <c r="AO94" s="170" t="s">
        <v>89</v>
      </c>
      <c r="AP94" s="170" t="s">
        <v>40</v>
      </c>
      <c r="AQ94" s="100" t="s">
        <v>89</v>
      </c>
      <c r="AR94" s="100" t="s">
        <v>39</v>
      </c>
      <c r="AS94" s="170" t="s">
        <v>469</v>
      </c>
      <c r="AT94" s="170" t="s">
        <v>469</v>
      </c>
      <c r="AU94" s="170" t="s">
        <v>493</v>
      </c>
      <c r="AV94" s="170" t="s">
        <v>493</v>
      </c>
      <c r="AW94" s="184">
        <v>727179.0</v>
      </c>
      <c r="AX94" s="96" t="str">
        <f t="shared" si="131"/>
        <v>$500K - $1M</v>
      </c>
      <c r="AY94" s="184">
        <v>2897.0</v>
      </c>
      <c r="AZ94" s="184">
        <v>592741.0</v>
      </c>
      <c r="BA94" s="103" t="str">
        <f t="shared" si="132"/>
        <v>$500K - $1M</v>
      </c>
      <c r="BB94" s="103">
        <f t="shared" si="133"/>
        <v>0.004887463496</v>
      </c>
      <c r="BC94" s="103" t="str">
        <f t="shared" si="134"/>
        <v>&lt; 10%</v>
      </c>
      <c r="BD94" s="170" t="s">
        <v>107</v>
      </c>
      <c r="BE94" s="171"/>
      <c r="BF94" s="170" t="s">
        <v>493</v>
      </c>
      <c r="BG94" s="170">
        <v>4.0</v>
      </c>
      <c r="BH94" s="169">
        <v>1.0</v>
      </c>
      <c r="BI94" s="90" t="s">
        <v>469</v>
      </c>
      <c r="BJ94" s="170" t="s">
        <v>469</v>
      </c>
      <c r="BK94" s="170" t="s">
        <v>493</v>
      </c>
      <c r="BL94" s="170" t="s">
        <v>469</v>
      </c>
      <c r="BM94" s="169">
        <v>0.0</v>
      </c>
      <c r="BN94" s="169">
        <v>5.0</v>
      </c>
      <c r="BO94" s="169">
        <v>0.0</v>
      </c>
      <c r="BP94" s="169">
        <v>0.0</v>
      </c>
      <c r="BQ94" s="108"/>
      <c r="BR94" s="15">
        <v>22.0</v>
      </c>
      <c r="BS94" s="15">
        <v>0.0</v>
      </c>
      <c r="BT94" s="15">
        <v>0.0</v>
      </c>
      <c r="BU94" s="15">
        <v>42.0</v>
      </c>
      <c r="BV94" s="15" t="s">
        <v>469</v>
      </c>
      <c r="BW94" s="108"/>
      <c r="CC94" s="108"/>
      <c r="CI94" s="108"/>
      <c r="CO94" s="108"/>
      <c r="CU94" s="108"/>
      <c r="DA94" s="108"/>
      <c r="DG94" s="108"/>
      <c r="DM94" s="108"/>
      <c r="DS94" s="108"/>
      <c r="DT94" s="108"/>
      <c r="DU94" s="108"/>
      <c r="DW94" s="109"/>
      <c r="DX94" s="110">
        <f t="shared" si="13"/>
        <v>22</v>
      </c>
      <c r="DY94" s="111">
        <f t="shared" ref="DY94:DZ94" si="247">sum(BS94,BY94,CE94,CK94,CQ94,CW94,DC94,DI94,DO94)</f>
        <v>0</v>
      </c>
      <c r="DZ94" s="111">
        <f t="shared" si="247"/>
        <v>0</v>
      </c>
      <c r="EA94" s="110">
        <f t="shared" si="15"/>
        <v>42</v>
      </c>
      <c r="EB94" s="99" t="str">
        <f t="shared" si="16"/>
        <v>35 - 54</v>
      </c>
      <c r="EC94" s="112"/>
      <c r="ED94" s="113">
        <f t="shared" si="17"/>
        <v>4.6</v>
      </c>
      <c r="EE94" s="114" t="str">
        <f>IF(V94 &lt;&gt; "", 1+((V94-MIN(discount_rates))*(4)/(MAX(discount_rates) - MIN(discount_rates))), "")</f>
        <v/>
      </c>
      <c r="EF94" s="114" t="str">
        <f>IF(Q94="Debt", (1+((S94-MIN(interest_rates))*(4)/(MAX(interest_rates) - MIN(interest_rates)))), "")</f>
        <v/>
      </c>
      <c r="EG94" s="114" t="str">
        <f>IF(OR(Q94="Revenue Share", Q94="Profit Share"), (1+((R94-MIN(return_mutiples))*(4)/(MAX(return_mutiples) - MIN(return_mutiples)))), "")</f>
        <v/>
      </c>
      <c r="EH94" s="115">
        <f t="shared" si="18"/>
        <v>4.6</v>
      </c>
      <c r="EI94" s="116" t="str">
        <f t="shared" si="19"/>
        <v>Equity - Preferred</v>
      </c>
      <c r="EJ94" s="117">
        <f t="shared" si="20"/>
        <v>0.06849315068</v>
      </c>
      <c r="EK94" s="116" t="str">
        <f t="shared" si="21"/>
        <v>Early</v>
      </c>
      <c r="EL94" s="112"/>
      <c r="EM94" s="118">
        <f t="shared" si="22"/>
        <v>3.3</v>
      </c>
      <c r="EN94" s="118">
        <f t="shared" si="23"/>
        <v>1.7</v>
      </c>
      <c r="EO94" s="119">
        <f t="shared" si="24"/>
        <v>5</v>
      </c>
      <c r="EP94" s="115">
        <f>1+((EO94-MIN(market_ratings_sums))*(4)/(MAX(market_ratings_sums) - MIN(market_ratings_sums)))</f>
        <v>2.614035088</v>
      </c>
      <c r="EQ94" s="116" t="str">
        <f t="shared" si="25"/>
        <v>No</v>
      </c>
      <c r="ER94" s="112"/>
      <c r="ES94" s="123">
        <f>1+((DX94-MIN(industry_experiences))*(4)/(MAX(industry_experiences) - MIN(industry_experiences)))</f>
        <v>3.095238095</v>
      </c>
      <c r="ET94" s="123">
        <f>1+((DY94-MIN(previous_startups))*(4)/(MAX(previous_startups) - MIN(previous_startups)))</f>
        <v>1</v>
      </c>
      <c r="EU94" s="123">
        <f>1+((DZ94-MIN(exits))*(4)/(MAX(exits) - MIN(exits)))</f>
        <v>1</v>
      </c>
      <c r="EV94" s="119">
        <f t="shared" si="26"/>
        <v>5.095238095</v>
      </c>
      <c r="EW94" s="124">
        <f>1+((EV94-MIN(team_ratings_sums))*(4)/(MAX(team_ratings_sums) - MIN(team_ratings_sums)))</f>
        <v>2.147826087</v>
      </c>
      <c r="EX94" s="116" t="str">
        <f t="shared" si="27"/>
        <v>35 - 54</v>
      </c>
      <c r="EY94" s="125">
        <f t="shared" si="28"/>
        <v>0.6849315068</v>
      </c>
      <c r="EZ94" s="116">
        <f t="shared" si="29"/>
        <v>1</v>
      </c>
      <c r="FA94" s="125">
        <f t="shared" si="30"/>
        <v>0.4383561644</v>
      </c>
      <c r="FB94" s="116">
        <f t="shared" si="31"/>
        <v>5</v>
      </c>
      <c r="FC94" s="125">
        <f t="shared" si="32"/>
        <v>0.1369863014</v>
      </c>
      <c r="FD94" s="116" t="str">
        <f t="shared" si="33"/>
        <v>No</v>
      </c>
      <c r="FE94" s="125">
        <f t="shared" si="34"/>
        <v>0.7534246575</v>
      </c>
      <c r="FF94" s="116" t="str">
        <f t="shared" ref="FF94:FH94" si="248">BJ94</f>
        <v>No</v>
      </c>
      <c r="FG94" s="116" t="str">
        <f t="shared" si="248"/>
        <v>Yes</v>
      </c>
      <c r="FH94" s="116" t="str">
        <f t="shared" si="248"/>
        <v>No</v>
      </c>
      <c r="FI94" s="112"/>
      <c r="FJ94" s="116" t="str">
        <f t="shared" si="36"/>
        <v>Transactional</v>
      </c>
      <c r="FK94" s="125">
        <f t="shared" si="37"/>
        <v>0.602739726</v>
      </c>
      <c r="FL94" s="116" t="str">
        <f t="shared" si="38"/>
        <v>B2C</v>
      </c>
      <c r="FM94" s="125">
        <f t="shared" si="39"/>
        <v>0.397260274</v>
      </c>
      <c r="FN94" s="116" t="str">
        <f t="shared" si="40"/>
        <v>Low</v>
      </c>
      <c r="FO94" s="125">
        <f t="shared" si="41"/>
        <v>0.4383561644</v>
      </c>
      <c r="FP94" s="116" t="str">
        <f t="shared" si="42"/>
        <v>Low</v>
      </c>
      <c r="FQ94" s="125">
        <f t="shared" si="43"/>
        <v>0.3561643836</v>
      </c>
      <c r="FR94" s="112"/>
      <c r="FS94" s="123">
        <f t="shared" si="44"/>
        <v>5</v>
      </c>
      <c r="FT94" s="123">
        <f t="shared" si="45"/>
        <v>2.8</v>
      </c>
      <c r="FU94" s="123">
        <f t="shared" si="46"/>
        <v>5</v>
      </c>
      <c r="FV94" s="123">
        <f t="shared" si="47"/>
        <v>3.2</v>
      </c>
      <c r="FW94" s="119">
        <f t="shared" si="48"/>
        <v>16</v>
      </c>
      <c r="FX94" s="115">
        <f>1+((FW94-MIN(performance_ratings_sums))*(4)/(MAX(performance_ratings_sums) - MIN(performance_ratings_sums)))</f>
        <v>4.476635514</v>
      </c>
      <c r="FY94" s="116" t="str">
        <f t="shared" si="49"/>
        <v>Pre-Profit</v>
      </c>
      <c r="FZ94" s="126">
        <f t="shared" si="50"/>
        <v>0.4931506849</v>
      </c>
      <c r="GA94" s="112"/>
      <c r="GB94" s="127">
        <f t="shared" si="51"/>
        <v>1</v>
      </c>
      <c r="GC94" s="116" t="str">
        <f t="shared" si="52"/>
        <v>No</v>
      </c>
      <c r="GD94" s="126">
        <f t="shared" si="53"/>
        <v>0.7671232877</v>
      </c>
      <c r="GE94" s="126" t="str">
        <f t="shared" si="54"/>
        <v>Low</v>
      </c>
      <c r="GF94" s="126">
        <f t="shared" si="55"/>
        <v>0.5479452055</v>
      </c>
      <c r="GG94" s="126" t="str">
        <f t="shared" si="56"/>
        <v>High</v>
      </c>
      <c r="GH94" s="126">
        <f t="shared" si="57"/>
        <v>0.8082191781</v>
      </c>
      <c r="GI94" s="112"/>
      <c r="GJ94" s="116"/>
      <c r="GK94" s="119">
        <f t="shared" si="58"/>
        <v>14.83849669</v>
      </c>
      <c r="GL94" s="128">
        <f>1+((GK94-MIN(ratings_sums))*(4)/(MAX(ratings_sums) - MIN(ratings_sums)))</f>
        <v>3.345640042</v>
      </c>
    </row>
    <row r="95" ht="15.75" customHeight="1">
      <c r="A95" s="176" t="s">
        <v>702</v>
      </c>
      <c r="B95" s="169">
        <v>1803861.0</v>
      </c>
      <c r="C95" s="177" t="s">
        <v>951</v>
      </c>
      <c r="D95" s="178">
        <v>43889.47430555556</v>
      </c>
      <c r="E95" s="170" t="s">
        <v>93</v>
      </c>
      <c r="F95" s="150" t="s">
        <v>952</v>
      </c>
      <c r="G95" s="150" t="s">
        <v>953</v>
      </c>
      <c r="H95" s="179">
        <v>43887.0</v>
      </c>
      <c r="I95" s="180" t="s">
        <v>954</v>
      </c>
      <c r="J95" s="180" t="s">
        <v>951</v>
      </c>
      <c r="K95" s="170" t="s">
        <v>466</v>
      </c>
      <c r="L95" s="170" t="s">
        <v>349</v>
      </c>
      <c r="M95" s="170" t="s">
        <v>31</v>
      </c>
      <c r="N95" s="170" t="s">
        <v>82</v>
      </c>
      <c r="O95" s="170" t="s">
        <v>35</v>
      </c>
      <c r="P95" s="171"/>
      <c r="Q95" s="170" t="s">
        <v>195</v>
      </c>
      <c r="R95" s="181"/>
      <c r="S95" s="182"/>
      <c r="T95" s="183"/>
      <c r="U95" s="184">
        <v>1.1E7</v>
      </c>
      <c r="V95" s="185">
        <v>0.0</v>
      </c>
      <c r="W95" s="96">
        <f t="shared" si="125"/>
        <v>11000000</v>
      </c>
      <c r="X95" s="98">
        <f t="shared" si="126"/>
        <v>11000000</v>
      </c>
      <c r="Y95" s="99" t="str">
        <f t="shared" si="127"/>
        <v>$10M - $12M</v>
      </c>
      <c r="Z95" s="170" t="s">
        <v>36</v>
      </c>
      <c r="AA95" s="170" t="s">
        <v>123</v>
      </c>
      <c r="AB95" s="170" t="s">
        <v>88</v>
      </c>
      <c r="AC95" s="170" t="s">
        <v>493</v>
      </c>
      <c r="AD95" s="170" t="s">
        <v>89</v>
      </c>
      <c r="AE95" s="170" t="s">
        <v>89</v>
      </c>
      <c r="AF95" s="170" t="s">
        <v>469</v>
      </c>
      <c r="AG95" s="184">
        <v>4.19879E11</v>
      </c>
      <c r="AH95" s="97" t="str">
        <f t="shared" si="128"/>
        <v>$250B-$500B</v>
      </c>
      <c r="AI95" s="184">
        <v>5.6263786E10</v>
      </c>
      <c r="AJ95" s="97" t="str">
        <f t="shared" si="129"/>
        <v>$50B-$100B</v>
      </c>
      <c r="AK95" s="186">
        <v>0.093</v>
      </c>
      <c r="AL95" s="88" t="str">
        <f t="shared" si="130"/>
        <v>0%-10%</v>
      </c>
      <c r="AM95" s="169">
        <v>1000.0</v>
      </c>
      <c r="AN95" s="170" t="s">
        <v>89</v>
      </c>
      <c r="AO95" s="170" t="s">
        <v>89</v>
      </c>
      <c r="AP95" s="170" t="s">
        <v>40</v>
      </c>
      <c r="AQ95" s="100" t="s">
        <v>89</v>
      </c>
      <c r="AR95" s="100" t="s">
        <v>39</v>
      </c>
      <c r="AS95" s="170" t="s">
        <v>493</v>
      </c>
      <c r="AT95" s="170" t="s">
        <v>469</v>
      </c>
      <c r="AU95" s="170" t="s">
        <v>493</v>
      </c>
      <c r="AV95" s="170" t="s">
        <v>493</v>
      </c>
      <c r="AW95" s="184">
        <v>0.0</v>
      </c>
      <c r="AX95" s="96" t="str">
        <f t="shared" si="131"/>
        <v>&lt; $10K</v>
      </c>
      <c r="AY95" s="184">
        <v>0.0</v>
      </c>
      <c r="AZ95" s="184">
        <v>0.0</v>
      </c>
      <c r="BA95" s="103" t="str">
        <f t="shared" si="132"/>
        <v>&lt; $10K</v>
      </c>
      <c r="BB95" s="103">
        <f t="shared" si="133"/>
        <v>1</v>
      </c>
      <c r="BC95" s="103" t="str">
        <f t="shared" si="134"/>
        <v>90% - 100%</v>
      </c>
      <c r="BD95" s="170" t="s">
        <v>107</v>
      </c>
      <c r="BE95" s="171"/>
      <c r="BF95" s="170" t="s">
        <v>469</v>
      </c>
      <c r="BG95" s="170">
        <v>0.0</v>
      </c>
      <c r="BH95" s="169">
        <v>2.0</v>
      </c>
      <c r="BI95" s="170" t="s">
        <v>469</v>
      </c>
      <c r="BJ95" s="170" t="s">
        <v>493</v>
      </c>
      <c r="BK95" s="170" t="s">
        <v>493</v>
      </c>
      <c r="BL95" s="170" t="s">
        <v>469</v>
      </c>
      <c r="BM95" s="169">
        <v>3.0</v>
      </c>
      <c r="BN95" s="169">
        <v>2.0</v>
      </c>
      <c r="BO95" s="169">
        <v>0.0</v>
      </c>
      <c r="BP95" s="169">
        <v>0.0</v>
      </c>
      <c r="BQ95" s="108"/>
      <c r="BR95" s="15">
        <v>1.0</v>
      </c>
      <c r="BS95" s="15">
        <v>0.0</v>
      </c>
      <c r="BT95" s="15">
        <v>0.0</v>
      </c>
      <c r="BU95" s="15">
        <v>25.0</v>
      </c>
      <c r="BV95" s="15" t="s">
        <v>469</v>
      </c>
      <c r="BW95" s="108"/>
      <c r="BX95" s="15">
        <v>1.0</v>
      </c>
      <c r="BY95" s="15">
        <v>0.0</v>
      </c>
      <c r="BZ95" s="15">
        <v>0.0</v>
      </c>
      <c r="CA95" s="15">
        <v>25.0</v>
      </c>
      <c r="CB95" s="15" t="s">
        <v>469</v>
      </c>
      <c r="CC95" s="108"/>
      <c r="CI95" s="108"/>
      <c r="CO95" s="108"/>
      <c r="CU95" s="108"/>
      <c r="DA95" s="108"/>
      <c r="DG95" s="108"/>
      <c r="DM95" s="108"/>
      <c r="DS95" s="108"/>
      <c r="DT95" s="108"/>
      <c r="DU95" s="108"/>
      <c r="DW95" s="109"/>
      <c r="DX95" s="110">
        <f t="shared" si="13"/>
        <v>1</v>
      </c>
      <c r="DY95" s="111">
        <f t="shared" ref="DY95:DZ95" si="249">sum(BS95,BY95,CE95,CK95,CQ95,CW95,DC95,DI95,DO95)</f>
        <v>0</v>
      </c>
      <c r="DZ95" s="111">
        <f t="shared" si="249"/>
        <v>0</v>
      </c>
      <c r="EA95" s="110">
        <f t="shared" si="15"/>
        <v>25</v>
      </c>
      <c r="EB95" s="99" t="str">
        <f t="shared" si="16"/>
        <v>20 - 34</v>
      </c>
      <c r="EC95" s="112"/>
      <c r="ED95" s="113">
        <f t="shared" si="17"/>
        <v>3.9</v>
      </c>
      <c r="EE95" s="114">
        <f>IF(V95 &lt;&gt; "", 1+((V95-MIN(discount_rates))*(4)/(MAX(discount_rates) - MIN(discount_rates))), "")</f>
        <v>1</v>
      </c>
      <c r="EF95" s="114" t="str">
        <f>IF(Q95="Debt", (1+((S95-MIN(interest_rates))*(4)/(MAX(interest_rates) - MIN(interest_rates)))), "")</f>
        <v/>
      </c>
      <c r="EG95" s="114" t="str">
        <f>IF(OR(Q95="Revenue Share", Q95="Profit Share"), (1+((R95-MIN(return_mutiples))*(4)/(MAX(return_mutiples) - MIN(return_mutiples)))), "")</f>
        <v/>
      </c>
      <c r="EH95" s="115">
        <f t="shared" si="18"/>
        <v>3.9</v>
      </c>
      <c r="EI95" s="116" t="str">
        <f t="shared" si="19"/>
        <v>SAFE</v>
      </c>
      <c r="EJ95" s="117">
        <f t="shared" si="20"/>
        <v>0.3561643836</v>
      </c>
      <c r="EK95" s="116" t="str">
        <f t="shared" si="21"/>
        <v>Early</v>
      </c>
      <c r="EL95" s="112"/>
      <c r="EM95" s="118">
        <f t="shared" si="22"/>
        <v>3.9</v>
      </c>
      <c r="EN95" s="118">
        <f t="shared" si="23"/>
        <v>1.7</v>
      </c>
      <c r="EO95" s="119">
        <f t="shared" si="24"/>
        <v>5.6</v>
      </c>
      <c r="EP95" s="115">
        <f>1+((EO95-MIN(market_ratings_sums))*(4)/(MAX(market_ratings_sums) - MIN(market_ratings_sums)))</f>
        <v>3.035087719</v>
      </c>
      <c r="EQ95" s="116" t="str">
        <f t="shared" si="25"/>
        <v>Yes</v>
      </c>
      <c r="ER95" s="112"/>
      <c r="ES95" s="123">
        <f>1+((DX95-MIN(industry_experiences))*(4)/(MAX(industry_experiences) - MIN(industry_experiences)))</f>
        <v>1.095238095</v>
      </c>
      <c r="ET95" s="123">
        <f>1+((DY95-MIN(previous_startups))*(4)/(MAX(previous_startups) - MIN(previous_startups)))</f>
        <v>1</v>
      </c>
      <c r="EU95" s="123">
        <f>1+((DZ95-MIN(exits))*(4)/(MAX(exits) - MIN(exits)))</f>
        <v>1</v>
      </c>
      <c r="EV95" s="119">
        <f t="shared" si="26"/>
        <v>3.095238095</v>
      </c>
      <c r="EW95" s="124">
        <f>1+((EV95-MIN(team_ratings_sums))*(4)/(MAX(team_ratings_sums) - MIN(team_ratings_sums)))</f>
        <v>1.052173913</v>
      </c>
      <c r="EX95" s="116" t="str">
        <f t="shared" si="27"/>
        <v>20 - 34</v>
      </c>
      <c r="EY95" s="125">
        <f t="shared" si="28"/>
        <v>0.2054794521</v>
      </c>
      <c r="EZ95" s="116">
        <f t="shared" si="29"/>
        <v>2</v>
      </c>
      <c r="FA95" s="125">
        <f t="shared" si="30"/>
        <v>0.4520547945</v>
      </c>
      <c r="FB95" s="116">
        <f t="shared" si="31"/>
        <v>2</v>
      </c>
      <c r="FC95" s="125">
        <f t="shared" si="32"/>
        <v>0.1369863014</v>
      </c>
      <c r="FD95" s="116" t="str">
        <f t="shared" si="33"/>
        <v>No</v>
      </c>
      <c r="FE95" s="125">
        <f t="shared" si="34"/>
        <v>0.7534246575</v>
      </c>
      <c r="FF95" s="116" t="str">
        <f t="shared" ref="FF95:FH95" si="250">BJ95</f>
        <v>Yes</v>
      </c>
      <c r="FG95" s="116" t="str">
        <f t="shared" si="250"/>
        <v>Yes</v>
      </c>
      <c r="FH95" s="116" t="str">
        <f t="shared" si="250"/>
        <v>No</v>
      </c>
      <c r="FI95" s="112"/>
      <c r="FJ95" s="116" t="str">
        <f t="shared" si="36"/>
        <v>Transactional</v>
      </c>
      <c r="FK95" s="125">
        <f t="shared" si="37"/>
        <v>0.602739726</v>
      </c>
      <c r="FL95" s="116" t="str">
        <f t="shared" si="38"/>
        <v>B2B/B2C</v>
      </c>
      <c r="FM95" s="125">
        <f t="shared" si="39"/>
        <v>0.3287671233</v>
      </c>
      <c r="FN95" s="116" t="str">
        <f t="shared" si="40"/>
        <v>Low</v>
      </c>
      <c r="FO95" s="125">
        <f t="shared" si="41"/>
        <v>0.4383561644</v>
      </c>
      <c r="FP95" s="116" t="str">
        <f t="shared" si="42"/>
        <v>Low</v>
      </c>
      <c r="FQ95" s="125">
        <f t="shared" si="43"/>
        <v>0.3561643836</v>
      </c>
      <c r="FR95" s="112"/>
      <c r="FS95" s="123">
        <f t="shared" si="44"/>
        <v>5</v>
      </c>
      <c r="FT95" s="123">
        <f t="shared" si="45"/>
        <v>1</v>
      </c>
      <c r="FU95" s="123">
        <f t="shared" si="46"/>
        <v>1</v>
      </c>
      <c r="FV95" s="123">
        <f t="shared" si="47"/>
        <v>5</v>
      </c>
      <c r="FW95" s="119">
        <f t="shared" si="48"/>
        <v>12</v>
      </c>
      <c r="FX95" s="115">
        <f>1+((FW95-MIN(performance_ratings_sums))*(4)/(MAX(performance_ratings_sums) - MIN(performance_ratings_sums)))</f>
        <v>2.981308411</v>
      </c>
      <c r="FY95" s="116" t="str">
        <f t="shared" si="49"/>
        <v>Pre-Profit</v>
      </c>
      <c r="FZ95" s="126">
        <f t="shared" si="50"/>
        <v>0.4931506849</v>
      </c>
      <c r="GA95" s="112"/>
      <c r="GB95" s="127">
        <f t="shared" si="51"/>
        <v>1</v>
      </c>
      <c r="GC95" s="116" t="str">
        <f t="shared" si="52"/>
        <v>No</v>
      </c>
      <c r="GD95" s="126">
        <f t="shared" si="53"/>
        <v>0.7671232877</v>
      </c>
      <c r="GE95" s="126" t="str">
        <f t="shared" si="54"/>
        <v>Low</v>
      </c>
      <c r="GF95" s="126">
        <f t="shared" si="55"/>
        <v>0.5479452055</v>
      </c>
      <c r="GG95" s="126" t="str">
        <f t="shared" si="56"/>
        <v>High</v>
      </c>
      <c r="GH95" s="126">
        <f t="shared" si="57"/>
        <v>0.8082191781</v>
      </c>
      <c r="GI95" s="112"/>
      <c r="GJ95" s="116"/>
      <c r="GK95" s="119">
        <f t="shared" si="58"/>
        <v>11.96857004</v>
      </c>
      <c r="GL95" s="128">
        <f>1+((GK95-MIN(ratings_sums))*(4)/(MAX(ratings_sums) - MIN(ratings_sums)))</f>
        <v>2.465031843</v>
      </c>
    </row>
    <row r="96" ht="15.75" customHeight="1">
      <c r="A96" s="200" t="s">
        <v>702</v>
      </c>
      <c r="B96" s="191">
        <v>1752109.0</v>
      </c>
      <c r="C96" s="180" t="s">
        <v>955</v>
      </c>
      <c r="D96" s="196">
        <v>43889.47638888889</v>
      </c>
      <c r="E96" s="175" t="s">
        <v>93</v>
      </c>
      <c r="F96" s="192" t="s">
        <v>956</v>
      </c>
      <c r="G96" s="192" t="s">
        <v>957</v>
      </c>
      <c r="H96" s="193">
        <v>43887.0</v>
      </c>
      <c r="I96" s="197" t="s">
        <v>958</v>
      </c>
      <c r="J96" s="180" t="s">
        <v>959</v>
      </c>
      <c r="K96" s="175" t="s">
        <v>448</v>
      </c>
      <c r="L96" s="175" t="s">
        <v>390</v>
      </c>
      <c r="M96" s="175" t="s">
        <v>31</v>
      </c>
      <c r="N96" s="175" t="s">
        <v>82</v>
      </c>
      <c r="O96" s="175" t="s">
        <v>35</v>
      </c>
      <c r="P96" s="171"/>
      <c r="Q96" s="175" t="s">
        <v>121</v>
      </c>
      <c r="R96" s="181"/>
      <c r="S96" s="182"/>
      <c r="T96" s="69">
        <v>215000.0</v>
      </c>
      <c r="U96" s="16"/>
      <c r="V96" s="198"/>
      <c r="W96" s="96" t="str">
        <f t="shared" si="125"/>
        <v/>
      </c>
      <c r="X96" s="98">
        <f t="shared" si="126"/>
        <v>215000</v>
      </c>
      <c r="Y96" s="99" t="str">
        <f t="shared" si="127"/>
        <v>&lt; $1M</v>
      </c>
      <c r="Z96" s="175" t="s">
        <v>36</v>
      </c>
      <c r="AA96" s="175" t="s">
        <v>87</v>
      </c>
      <c r="AB96" s="175" t="s">
        <v>38</v>
      </c>
      <c r="AC96" s="175" t="s">
        <v>469</v>
      </c>
      <c r="AD96" s="175" t="s">
        <v>89</v>
      </c>
      <c r="AE96" s="175" t="s">
        <v>89</v>
      </c>
      <c r="AF96" s="175" t="s">
        <v>469</v>
      </c>
      <c r="AG96" s="16">
        <v>4.90675E10</v>
      </c>
      <c r="AH96" s="97" t="str">
        <f t="shared" si="128"/>
        <v>$25B-$50B</v>
      </c>
      <c r="AI96" s="16">
        <v>4.90675E10</v>
      </c>
      <c r="AJ96" s="97" t="str">
        <f t="shared" si="129"/>
        <v>$25B-$50B</v>
      </c>
      <c r="AK96" s="199">
        <v>0.033</v>
      </c>
      <c r="AL96" s="88" t="str">
        <f t="shared" si="130"/>
        <v>0%-10%</v>
      </c>
      <c r="AM96" s="191">
        <v>100.0</v>
      </c>
      <c r="AN96" s="175" t="s">
        <v>89</v>
      </c>
      <c r="AO96" s="175" t="s">
        <v>89</v>
      </c>
      <c r="AP96" s="175" t="s">
        <v>40</v>
      </c>
      <c r="AQ96" s="143" t="s">
        <v>89</v>
      </c>
      <c r="AR96" s="143" t="s">
        <v>39</v>
      </c>
      <c r="AS96" s="175" t="s">
        <v>469</v>
      </c>
      <c r="AT96" s="175" t="s">
        <v>469</v>
      </c>
      <c r="AU96" s="175" t="s">
        <v>469</v>
      </c>
      <c r="AV96" s="175" t="s">
        <v>469</v>
      </c>
      <c r="AW96" s="16">
        <v>0.0</v>
      </c>
      <c r="AX96" s="96" t="str">
        <f t="shared" si="131"/>
        <v>&lt; $10K</v>
      </c>
      <c r="AY96" s="16">
        <v>0.0</v>
      </c>
      <c r="AZ96" s="16">
        <v>0.0</v>
      </c>
      <c r="BA96" s="103" t="str">
        <f t="shared" si="132"/>
        <v>&lt; $10K</v>
      </c>
      <c r="BB96" s="103">
        <f t="shared" si="133"/>
        <v>1</v>
      </c>
      <c r="BC96" s="103" t="str">
        <f t="shared" si="134"/>
        <v>90% - 100%</v>
      </c>
      <c r="BD96" s="175" t="s">
        <v>41</v>
      </c>
      <c r="BE96" s="171"/>
      <c r="BF96" s="175" t="s">
        <v>469</v>
      </c>
      <c r="BG96" s="191">
        <v>0.0</v>
      </c>
      <c r="BH96" s="191">
        <v>1.0</v>
      </c>
      <c r="BI96" s="90" t="s">
        <v>469</v>
      </c>
      <c r="BJ96" s="175" t="s">
        <v>493</v>
      </c>
      <c r="BK96" s="175" t="s">
        <v>493</v>
      </c>
      <c r="BL96" s="175" t="s">
        <v>469</v>
      </c>
      <c r="BM96" s="191">
        <v>1.0</v>
      </c>
      <c r="BN96" s="191">
        <v>3.0</v>
      </c>
      <c r="BO96" s="191">
        <v>1.0</v>
      </c>
      <c r="BP96" s="191">
        <v>0.0</v>
      </c>
      <c r="BQ96" s="108"/>
      <c r="BR96" s="15">
        <v>20.0</v>
      </c>
      <c r="BS96" s="15">
        <v>1.0</v>
      </c>
      <c r="BT96" s="15">
        <v>0.0</v>
      </c>
      <c r="BU96" s="15">
        <v>42.0</v>
      </c>
      <c r="BV96" s="15" t="s">
        <v>469</v>
      </c>
      <c r="BW96" s="108"/>
      <c r="CC96" s="108"/>
      <c r="CI96" s="108"/>
      <c r="CO96" s="108"/>
      <c r="CU96" s="108"/>
      <c r="DA96" s="108"/>
      <c r="DG96" s="108"/>
      <c r="DM96" s="108"/>
      <c r="DS96" s="108"/>
      <c r="DT96" s="108"/>
      <c r="DU96" s="108"/>
      <c r="DW96" s="109"/>
      <c r="DX96" s="110">
        <f t="shared" si="13"/>
        <v>20</v>
      </c>
      <c r="DY96" s="111">
        <f t="shared" ref="DY96:DZ96" si="251">sum(BS96,BY96,CE96,CK96,CQ96,CW96,DC96,DI96,DO96)</f>
        <v>1</v>
      </c>
      <c r="DZ96" s="111">
        <f t="shared" si="251"/>
        <v>0</v>
      </c>
      <c r="EA96" s="110">
        <f t="shared" si="15"/>
        <v>42</v>
      </c>
      <c r="EB96" s="99" t="str">
        <f t="shared" si="16"/>
        <v>35 - 54</v>
      </c>
      <c r="EC96" s="112"/>
      <c r="ED96" s="113">
        <f t="shared" si="17"/>
        <v>5</v>
      </c>
      <c r="EE96" s="114" t="str">
        <f>IF(V96 &lt;&gt; "", 1+((V96-MIN(discount_rates))*(4)/(MAX(discount_rates) - MIN(discount_rates))), "")</f>
        <v/>
      </c>
      <c r="EF96" s="114" t="str">
        <f>IF(Q96="Debt", (1+((S96-MIN(interest_rates))*(4)/(MAX(interest_rates) - MIN(interest_rates)))), "")</f>
        <v/>
      </c>
      <c r="EG96" s="114" t="str">
        <f>IF(OR(Q96="Revenue Share", Q96="Profit Share"), (1+((R96-MIN(return_mutiples))*(4)/(MAX(return_mutiples) - MIN(return_mutiples)))), "")</f>
        <v/>
      </c>
      <c r="EH96" s="115">
        <f t="shared" si="18"/>
        <v>5</v>
      </c>
      <c r="EI96" s="116" t="str">
        <f t="shared" si="19"/>
        <v>Equity - Common</v>
      </c>
      <c r="EJ96" s="117">
        <f t="shared" si="20"/>
        <v>0.3287671233</v>
      </c>
      <c r="EK96" s="116" t="str">
        <f t="shared" si="21"/>
        <v>Early</v>
      </c>
      <c r="EL96" s="112"/>
      <c r="EM96" s="118">
        <f t="shared" si="22"/>
        <v>3.6</v>
      </c>
      <c r="EN96" s="118">
        <f t="shared" si="23"/>
        <v>1.7</v>
      </c>
      <c r="EO96" s="119">
        <f t="shared" si="24"/>
        <v>5.3</v>
      </c>
      <c r="EP96" s="115">
        <f>1+((EO96-MIN(market_ratings_sums))*(4)/(MAX(market_ratings_sums) - MIN(market_ratings_sums)))</f>
        <v>2.824561404</v>
      </c>
      <c r="EQ96" s="116" t="str">
        <f t="shared" si="25"/>
        <v>No</v>
      </c>
      <c r="ER96" s="112"/>
      <c r="ES96" s="123">
        <f>1+((DX96-MIN(industry_experiences))*(4)/(MAX(industry_experiences) - MIN(industry_experiences)))</f>
        <v>2.904761905</v>
      </c>
      <c r="ET96" s="123">
        <f>1+((DY96-MIN(previous_startups))*(4)/(MAX(previous_startups) - MIN(previous_startups)))</f>
        <v>1.444444444</v>
      </c>
      <c r="EU96" s="123">
        <f>1+((DZ96-MIN(exits))*(4)/(MAX(exits) - MIN(exits)))</f>
        <v>1</v>
      </c>
      <c r="EV96" s="119">
        <f t="shared" si="26"/>
        <v>5.349206349</v>
      </c>
      <c r="EW96" s="124">
        <f>1+((EV96-MIN(team_ratings_sums))*(4)/(MAX(team_ratings_sums) - MIN(team_ratings_sums)))</f>
        <v>2.286956522</v>
      </c>
      <c r="EX96" s="116" t="str">
        <f t="shared" si="27"/>
        <v>35 - 54</v>
      </c>
      <c r="EY96" s="125">
        <f t="shared" si="28"/>
        <v>0.6849315068</v>
      </c>
      <c r="EZ96" s="116">
        <f t="shared" si="29"/>
        <v>1</v>
      </c>
      <c r="FA96" s="125">
        <f t="shared" si="30"/>
        <v>0.4383561644</v>
      </c>
      <c r="FB96" s="116">
        <f t="shared" si="31"/>
        <v>3</v>
      </c>
      <c r="FC96" s="125">
        <f t="shared" si="32"/>
        <v>0.08219178082</v>
      </c>
      <c r="FD96" s="116" t="str">
        <f t="shared" si="33"/>
        <v>No</v>
      </c>
      <c r="FE96" s="125">
        <f t="shared" si="34"/>
        <v>0.7534246575</v>
      </c>
      <c r="FF96" s="116" t="str">
        <f t="shared" ref="FF96:FH96" si="252">BJ96</f>
        <v>Yes</v>
      </c>
      <c r="FG96" s="116" t="str">
        <f t="shared" si="252"/>
        <v>Yes</v>
      </c>
      <c r="FH96" s="116" t="str">
        <f t="shared" si="252"/>
        <v>No</v>
      </c>
      <c r="FI96" s="112"/>
      <c r="FJ96" s="116" t="str">
        <f t="shared" si="36"/>
        <v>Transactional</v>
      </c>
      <c r="FK96" s="125">
        <f t="shared" si="37"/>
        <v>0.602739726</v>
      </c>
      <c r="FL96" s="116" t="str">
        <f t="shared" si="38"/>
        <v>B2C</v>
      </c>
      <c r="FM96" s="125">
        <f t="shared" si="39"/>
        <v>0.397260274</v>
      </c>
      <c r="FN96" s="116" t="str">
        <f t="shared" si="40"/>
        <v>Low</v>
      </c>
      <c r="FO96" s="125">
        <f t="shared" si="41"/>
        <v>0.4383561644</v>
      </c>
      <c r="FP96" s="116" t="str">
        <f t="shared" si="42"/>
        <v>Low</v>
      </c>
      <c r="FQ96" s="125">
        <f t="shared" si="43"/>
        <v>0.3561643836</v>
      </c>
      <c r="FR96" s="112"/>
      <c r="FS96" s="123">
        <f t="shared" si="44"/>
        <v>1</v>
      </c>
      <c r="FT96" s="123">
        <f t="shared" si="45"/>
        <v>1</v>
      </c>
      <c r="FU96" s="123">
        <f t="shared" si="46"/>
        <v>1</v>
      </c>
      <c r="FV96" s="123">
        <f t="shared" si="47"/>
        <v>5</v>
      </c>
      <c r="FW96" s="119">
        <f t="shared" si="48"/>
        <v>8</v>
      </c>
      <c r="FX96" s="115">
        <f>1+((FW96-MIN(performance_ratings_sums))*(4)/(MAX(performance_ratings_sums) - MIN(performance_ratings_sums)))</f>
        <v>1.485981308</v>
      </c>
      <c r="FY96" s="116" t="str">
        <f t="shared" si="49"/>
        <v>Pre-Product</v>
      </c>
      <c r="FZ96" s="126">
        <f t="shared" si="50"/>
        <v>0.2328767123</v>
      </c>
      <c r="GA96" s="112"/>
      <c r="GB96" s="127">
        <f t="shared" si="51"/>
        <v>1</v>
      </c>
      <c r="GC96" s="116" t="str">
        <f t="shared" si="52"/>
        <v>No</v>
      </c>
      <c r="GD96" s="126">
        <f t="shared" si="53"/>
        <v>0.7671232877</v>
      </c>
      <c r="GE96" s="126" t="str">
        <f t="shared" si="54"/>
        <v>Low</v>
      </c>
      <c r="GF96" s="126">
        <f t="shared" si="55"/>
        <v>0.5479452055</v>
      </c>
      <c r="GG96" s="126" t="str">
        <f t="shared" si="56"/>
        <v>High</v>
      </c>
      <c r="GH96" s="126">
        <f t="shared" si="57"/>
        <v>0.8082191781</v>
      </c>
      <c r="GI96" s="112"/>
      <c r="GJ96" s="116"/>
      <c r="GK96" s="119">
        <f t="shared" si="58"/>
        <v>12.59749923</v>
      </c>
      <c r="GL96" s="128">
        <f>1+((GK96-MIN(ratings_sums))*(4)/(MAX(ratings_sums) - MIN(ratings_sums)))</f>
        <v>2.658012456</v>
      </c>
    </row>
    <row r="97" ht="15.75" customHeight="1">
      <c r="A97" s="176" t="s">
        <v>702</v>
      </c>
      <c r="B97" s="169">
        <v>1803793.0</v>
      </c>
      <c r="C97" s="177" t="s">
        <v>960</v>
      </c>
      <c r="D97" s="189">
        <v>43892.44375</v>
      </c>
      <c r="E97" s="170" t="s">
        <v>350</v>
      </c>
      <c r="F97" s="150" t="s">
        <v>961</v>
      </c>
      <c r="G97" s="150" t="s">
        <v>962</v>
      </c>
      <c r="H97" s="190">
        <v>43889.0</v>
      </c>
      <c r="I97" s="180" t="s">
        <v>963</v>
      </c>
      <c r="J97" s="180" t="s">
        <v>960</v>
      </c>
      <c r="K97" s="170" t="s">
        <v>549</v>
      </c>
      <c r="L97" s="170" t="s">
        <v>349</v>
      </c>
      <c r="M97" s="170" t="s">
        <v>31</v>
      </c>
      <c r="N97" s="170" t="s">
        <v>82</v>
      </c>
      <c r="O97" s="170" t="s">
        <v>35</v>
      </c>
      <c r="P97" s="171"/>
      <c r="Q97" s="170" t="s">
        <v>121</v>
      </c>
      <c r="R97" s="181"/>
      <c r="S97" s="182"/>
      <c r="T97" s="21">
        <v>4955781.0</v>
      </c>
      <c r="U97" s="184"/>
      <c r="V97" s="185"/>
      <c r="W97" s="96" t="str">
        <f t="shared" si="125"/>
        <v/>
      </c>
      <c r="X97" s="98">
        <f t="shared" si="126"/>
        <v>4955781</v>
      </c>
      <c r="Y97" s="99" t="str">
        <f t="shared" si="127"/>
        <v>$4M - $6M</v>
      </c>
      <c r="Z97" s="170" t="s">
        <v>36</v>
      </c>
      <c r="AA97" s="170" t="s">
        <v>87</v>
      </c>
      <c r="AB97" s="170" t="s">
        <v>88</v>
      </c>
      <c r="AC97" s="170" t="s">
        <v>493</v>
      </c>
      <c r="AD97" s="170" t="s">
        <v>39</v>
      </c>
      <c r="AE97" s="170" t="s">
        <v>89</v>
      </c>
      <c r="AF97" s="170" t="s">
        <v>469</v>
      </c>
      <c r="AG97" s="184">
        <v>3.85109E11</v>
      </c>
      <c r="AH97" s="97" t="str">
        <f t="shared" si="128"/>
        <v>$250B-$500B</v>
      </c>
      <c r="AI97" s="184">
        <v>7.0E10</v>
      </c>
      <c r="AJ97" s="97" t="str">
        <f t="shared" si="129"/>
        <v>$50B-$100B</v>
      </c>
      <c r="AK97" s="186">
        <v>0.034</v>
      </c>
      <c r="AL97" s="88" t="str">
        <f t="shared" si="130"/>
        <v>0%-10%</v>
      </c>
      <c r="AM97" s="169">
        <v>150.0</v>
      </c>
      <c r="AN97" s="170" t="s">
        <v>39</v>
      </c>
      <c r="AO97" s="170" t="s">
        <v>89</v>
      </c>
      <c r="AP97" s="170" t="s">
        <v>90</v>
      </c>
      <c r="AQ97" s="100" t="s">
        <v>39</v>
      </c>
      <c r="AR97" s="100" t="s">
        <v>89</v>
      </c>
      <c r="AS97" s="170" t="s">
        <v>469</v>
      </c>
      <c r="AT97" s="170" t="s">
        <v>469</v>
      </c>
      <c r="AU97" s="170" t="s">
        <v>493</v>
      </c>
      <c r="AV97" s="170" t="s">
        <v>493</v>
      </c>
      <c r="AW97" s="184">
        <v>17162.0</v>
      </c>
      <c r="AX97" s="96" t="str">
        <f t="shared" si="131"/>
        <v>$10K - $50K</v>
      </c>
      <c r="AY97" s="184">
        <v>50812.0</v>
      </c>
      <c r="AZ97" s="184">
        <v>500000.0</v>
      </c>
      <c r="BA97" s="103" t="str">
        <f t="shared" si="132"/>
        <v>$100K - $500K</v>
      </c>
      <c r="BB97" s="103">
        <f t="shared" si="133"/>
        <v>0.101624</v>
      </c>
      <c r="BC97" s="103" t="str">
        <f t="shared" si="134"/>
        <v>10% - 20%</v>
      </c>
      <c r="BD97" s="170" t="s">
        <v>107</v>
      </c>
      <c r="BE97" s="171"/>
      <c r="BF97" s="170" t="s">
        <v>493</v>
      </c>
      <c r="BG97" s="169">
        <v>3.0</v>
      </c>
      <c r="BH97" s="169">
        <v>1.0</v>
      </c>
      <c r="BI97" s="90" t="s">
        <v>469</v>
      </c>
      <c r="BJ97" s="170" t="s">
        <v>469</v>
      </c>
      <c r="BK97" s="170" t="s">
        <v>469</v>
      </c>
      <c r="BL97" s="170" t="s">
        <v>469</v>
      </c>
      <c r="BM97" s="169">
        <v>1.0</v>
      </c>
      <c r="BN97" s="169">
        <v>5.0</v>
      </c>
      <c r="BO97" s="169">
        <v>0.0</v>
      </c>
      <c r="BP97" s="169">
        <v>3.0</v>
      </c>
      <c r="BQ97" s="108"/>
      <c r="BR97" s="15">
        <v>3.0</v>
      </c>
      <c r="BS97" s="15">
        <v>0.0</v>
      </c>
      <c r="BT97" s="15">
        <v>0.0</v>
      </c>
      <c r="BU97" s="15">
        <v>40.0</v>
      </c>
      <c r="BV97" s="15" t="s">
        <v>469</v>
      </c>
      <c r="BW97" s="108"/>
      <c r="CC97" s="108"/>
      <c r="CI97" s="108"/>
      <c r="CO97" s="108"/>
      <c r="CU97" s="108"/>
      <c r="DA97" s="108"/>
      <c r="DG97" s="108"/>
      <c r="DM97" s="108"/>
      <c r="DS97" s="108"/>
      <c r="DT97" s="108"/>
      <c r="DU97" s="108"/>
      <c r="DW97" s="109"/>
      <c r="DX97" s="110">
        <f t="shared" si="13"/>
        <v>3</v>
      </c>
      <c r="DY97" s="111">
        <f t="shared" ref="DY97:DZ97" si="253">sum(BS97,BY97,CE97,CK97,CQ97,CW97,DC97,DI97,DO97)</f>
        <v>0</v>
      </c>
      <c r="DZ97" s="111">
        <f t="shared" si="253"/>
        <v>0</v>
      </c>
      <c r="EA97" s="110">
        <f t="shared" si="15"/>
        <v>40</v>
      </c>
      <c r="EB97" s="99" t="str">
        <f t="shared" si="16"/>
        <v>35 - 54</v>
      </c>
      <c r="EC97" s="112"/>
      <c r="ED97" s="113">
        <f t="shared" si="17"/>
        <v>4.4</v>
      </c>
      <c r="EE97" s="114" t="str">
        <f>IF(V97 &lt;&gt; "", 1+((V97-MIN(discount_rates))*(4)/(MAX(discount_rates) - MIN(discount_rates))), "")</f>
        <v/>
      </c>
      <c r="EF97" s="114" t="str">
        <f>IF(Q97="Debt", (1+((S97-MIN(interest_rates))*(4)/(MAX(interest_rates) - MIN(interest_rates)))), "")</f>
        <v/>
      </c>
      <c r="EG97" s="114" t="str">
        <f>IF(OR(Q97="Revenue Share", Q97="Profit Share"), (1+((R97-MIN(return_mutiples))*(4)/(MAX(return_mutiples) - MIN(return_mutiples)))), "")</f>
        <v/>
      </c>
      <c r="EH97" s="115">
        <f t="shared" si="18"/>
        <v>4.4</v>
      </c>
      <c r="EI97" s="116" t="str">
        <f t="shared" si="19"/>
        <v>Equity - Common</v>
      </c>
      <c r="EJ97" s="117">
        <f t="shared" si="20"/>
        <v>0.3287671233</v>
      </c>
      <c r="EK97" s="116" t="str">
        <f t="shared" si="21"/>
        <v>Early</v>
      </c>
      <c r="EL97" s="112"/>
      <c r="EM97" s="118">
        <f t="shared" si="22"/>
        <v>3.9</v>
      </c>
      <c r="EN97" s="118">
        <f t="shared" si="23"/>
        <v>1.7</v>
      </c>
      <c r="EO97" s="119">
        <f t="shared" si="24"/>
        <v>5.6</v>
      </c>
      <c r="EP97" s="115">
        <f>1+((EO97-MIN(market_ratings_sums))*(4)/(MAX(market_ratings_sums) - MIN(market_ratings_sums)))</f>
        <v>3.035087719</v>
      </c>
      <c r="EQ97" s="116" t="str">
        <f t="shared" si="25"/>
        <v>No</v>
      </c>
      <c r="ER97" s="112"/>
      <c r="ES97" s="123">
        <f>1+((DX97-MIN(industry_experiences))*(4)/(MAX(industry_experiences) - MIN(industry_experiences)))</f>
        <v>1.285714286</v>
      </c>
      <c r="ET97" s="123">
        <f>1+((DY97-MIN(previous_startups))*(4)/(MAX(previous_startups) - MIN(previous_startups)))</f>
        <v>1</v>
      </c>
      <c r="EU97" s="123">
        <f>1+((DZ97-MIN(exits))*(4)/(MAX(exits) - MIN(exits)))</f>
        <v>1</v>
      </c>
      <c r="EV97" s="119">
        <f t="shared" si="26"/>
        <v>3.285714286</v>
      </c>
      <c r="EW97" s="124">
        <f>1+((EV97-MIN(team_ratings_sums))*(4)/(MAX(team_ratings_sums) - MIN(team_ratings_sums)))</f>
        <v>1.156521739</v>
      </c>
      <c r="EX97" s="116" t="str">
        <f t="shared" si="27"/>
        <v>35 - 54</v>
      </c>
      <c r="EY97" s="125">
        <f t="shared" si="28"/>
        <v>0.6849315068</v>
      </c>
      <c r="EZ97" s="116">
        <f t="shared" si="29"/>
        <v>1</v>
      </c>
      <c r="FA97" s="125">
        <f t="shared" si="30"/>
        <v>0.4383561644</v>
      </c>
      <c r="FB97" s="116">
        <f t="shared" si="31"/>
        <v>5</v>
      </c>
      <c r="FC97" s="125">
        <f t="shared" si="32"/>
        <v>0.1369863014</v>
      </c>
      <c r="FD97" s="116" t="str">
        <f t="shared" si="33"/>
        <v>No</v>
      </c>
      <c r="FE97" s="125">
        <f t="shared" si="34"/>
        <v>0.7534246575</v>
      </c>
      <c r="FF97" s="116" t="str">
        <f t="shared" ref="FF97:FH97" si="254">BJ97</f>
        <v>No</v>
      </c>
      <c r="FG97" s="116" t="str">
        <f t="shared" si="254"/>
        <v>No</v>
      </c>
      <c r="FH97" s="116" t="str">
        <f t="shared" si="254"/>
        <v>No</v>
      </c>
      <c r="FI97" s="112"/>
      <c r="FJ97" s="116" t="str">
        <f t="shared" si="36"/>
        <v>Transactional</v>
      </c>
      <c r="FK97" s="125">
        <f t="shared" si="37"/>
        <v>0.602739726</v>
      </c>
      <c r="FL97" s="116" t="str">
        <f t="shared" si="38"/>
        <v>B2C</v>
      </c>
      <c r="FM97" s="125">
        <f t="shared" si="39"/>
        <v>0.397260274</v>
      </c>
      <c r="FN97" s="116" t="str">
        <f t="shared" si="40"/>
        <v>High</v>
      </c>
      <c r="FO97" s="125">
        <f t="shared" si="41"/>
        <v>0.5616438356</v>
      </c>
      <c r="FP97" s="116" t="str">
        <f t="shared" si="42"/>
        <v>Low</v>
      </c>
      <c r="FQ97" s="125">
        <f t="shared" si="43"/>
        <v>0.3561643836</v>
      </c>
      <c r="FR97" s="112"/>
      <c r="FS97" s="123">
        <f t="shared" si="44"/>
        <v>5</v>
      </c>
      <c r="FT97" s="123">
        <f t="shared" si="45"/>
        <v>1.4</v>
      </c>
      <c r="FU97" s="123">
        <f t="shared" si="46"/>
        <v>4.6</v>
      </c>
      <c r="FV97" s="123">
        <f t="shared" si="47"/>
        <v>3.7</v>
      </c>
      <c r="FW97" s="119">
        <f t="shared" si="48"/>
        <v>14.7</v>
      </c>
      <c r="FX97" s="115">
        <f>1+((FW97-MIN(performance_ratings_sums))*(4)/(MAX(performance_ratings_sums) - MIN(performance_ratings_sums)))</f>
        <v>3.990654206</v>
      </c>
      <c r="FY97" s="116" t="str">
        <f t="shared" si="49"/>
        <v>Pre-Profit</v>
      </c>
      <c r="FZ97" s="126">
        <f t="shared" si="50"/>
        <v>0.4931506849</v>
      </c>
      <c r="GA97" s="112"/>
      <c r="GB97" s="127">
        <f t="shared" si="51"/>
        <v>3</v>
      </c>
      <c r="GC97" s="116" t="str">
        <f t="shared" si="52"/>
        <v>No</v>
      </c>
      <c r="GD97" s="126">
        <f t="shared" si="53"/>
        <v>0.7671232877</v>
      </c>
      <c r="GE97" s="126" t="str">
        <f t="shared" si="54"/>
        <v>High</v>
      </c>
      <c r="GF97" s="126">
        <f t="shared" si="55"/>
        <v>0.4520547945</v>
      </c>
      <c r="GG97" s="126" t="str">
        <f t="shared" si="56"/>
        <v>Low</v>
      </c>
      <c r="GH97" s="126">
        <f t="shared" si="57"/>
        <v>0.1917808219</v>
      </c>
      <c r="GI97" s="112"/>
      <c r="GJ97" s="116"/>
      <c r="GK97" s="119">
        <f t="shared" si="58"/>
        <v>15.58226366</v>
      </c>
      <c r="GL97" s="128">
        <f>1+((GK97-MIN(ratings_sums))*(4)/(MAX(ratings_sums) - MIN(ratings_sums)))</f>
        <v>3.573857476</v>
      </c>
    </row>
    <row r="98" ht="15.75" customHeight="1">
      <c r="A98" s="176" t="s">
        <v>702</v>
      </c>
      <c r="B98" s="169">
        <v>1802096.0</v>
      </c>
      <c r="C98" s="177" t="s">
        <v>964</v>
      </c>
      <c r="D98" s="178">
        <v>43892.45486111111</v>
      </c>
      <c r="E98" s="170" t="s">
        <v>369</v>
      </c>
      <c r="F98" s="150" t="s">
        <v>965</v>
      </c>
      <c r="G98" s="150" t="s">
        <v>966</v>
      </c>
      <c r="H98" s="179">
        <v>43886.0</v>
      </c>
      <c r="I98" s="180" t="s">
        <v>967</v>
      </c>
      <c r="J98" s="180" t="s">
        <v>964</v>
      </c>
      <c r="K98" s="170" t="s">
        <v>438</v>
      </c>
      <c r="L98" s="170" t="s">
        <v>355</v>
      </c>
      <c r="M98" s="170" t="s">
        <v>31</v>
      </c>
      <c r="N98" s="170" t="s">
        <v>82</v>
      </c>
      <c r="O98" s="170" t="s">
        <v>35</v>
      </c>
      <c r="P98" s="170" t="s">
        <v>122</v>
      </c>
      <c r="Q98" s="170" t="s">
        <v>195</v>
      </c>
      <c r="R98" s="181"/>
      <c r="S98" s="182"/>
      <c r="T98" s="183"/>
      <c r="U98" s="184">
        <v>1.0E7</v>
      </c>
      <c r="V98" s="185">
        <v>0.0</v>
      </c>
      <c r="W98" s="96">
        <f t="shared" si="125"/>
        <v>10000000</v>
      </c>
      <c r="X98" s="98">
        <f t="shared" si="126"/>
        <v>10000000</v>
      </c>
      <c r="Y98" s="99" t="str">
        <f t="shared" si="127"/>
        <v>$8M - $10M</v>
      </c>
      <c r="Z98" s="170" t="s">
        <v>36</v>
      </c>
      <c r="AA98" s="170" t="s">
        <v>37</v>
      </c>
      <c r="AB98" s="170" t="s">
        <v>88</v>
      </c>
      <c r="AC98" s="170" t="s">
        <v>493</v>
      </c>
      <c r="AD98" s="170" t="s">
        <v>39</v>
      </c>
      <c r="AE98" s="170" t="s">
        <v>39</v>
      </c>
      <c r="AF98" s="170" t="s">
        <v>469</v>
      </c>
      <c r="AG98" s="184">
        <v>8.6E11</v>
      </c>
      <c r="AH98" s="97" t="str">
        <f t="shared" si="128"/>
        <v>$500B-$1T</v>
      </c>
      <c r="AI98" s="184">
        <v>8.6E11</v>
      </c>
      <c r="AJ98" s="97" t="str">
        <f t="shared" si="129"/>
        <v>$500B-$1T</v>
      </c>
      <c r="AK98" s="186">
        <v>0.07</v>
      </c>
      <c r="AL98" s="88" t="str">
        <f t="shared" si="130"/>
        <v>0%-10%</v>
      </c>
      <c r="AM98" s="169">
        <v>15.0</v>
      </c>
      <c r="AN98" s="170" t="s">
        <v>39</v>
      </c>
      <c r="AO98" s="170" t="s">
        <v>39</v>
      </c>
      <c r="AP98" s="170" t="s">
        <v>90</v>
      </c>
      <c r="AQ98" s="100" t="s">
        <v>39</v>
      </c>
      <c r="AR98" s="100" t="s">
        <v>89</v>
      </c>
      <c r="AS98" s="170" t="s">
        <v>469</v>
      </c>
      <c r="AT98" s="170" t="s">
        <v>469</v>
      </c>
      <c r="AU98" s="170" t="s">
        <v>469</v>
      </c>
      <c r="AV98" s="170" t="s">
        <v>469</v>
      </c>
      <c r="AW98" s="184">
        <v>0.0</v>
      </c>
      <c r="AX98" s="96" t="str">
        <f t="shared" si="131"/>
        <v>&lt; $10K</v>
      </c>
      <c r="AY98" s="184">
        <v>134307.0</v>
      </c>
      <c r="AZ98" s="184">
        <v>2440000.0</v>
      </c>
      <c r="BA98" s="103" t="str">
        <f t="shared" si="132"/>
        <v>$2M - $3M</v>
      </c>
      <c r="BB98" s="103">
        <f t="shared" si="133"/>
        <v>0.05504385246</v>
      </c>
      <c r="BC98" s="103" t="str">
        <f t="shared" si="134"/>
        <v>&lt; 10%</v>
      </c>
      <c r="BD98" s="170" t="s">
        <v>91</v>
      </c>
      <c r="BE98" s="171"/>
      <c r="BF98" s="170" t="s">
        <v>469</v>
      </c>
      <c r="BG98" s="170">
        <v>0.0</v>
      </c>
      <c r="BH98" s="169">
        <v>1.0</v>
      </c>
      <c r="BI98" s="90" t="s">
        <v>469</v>
      </c>
      <c r="BJ98" s="170" t="s">
        <v>469</v>
      </c>
      <c r="BK98" s="170" t="s">
        <v>469</v>
      </c>
      <c r="BL98" s="170" t="s">
        <v>469</v>
      </c>
      <c r="BM98" s="169">
        <v>2.0</v>
      </c>
      <c r="BN98" s="169">
        <v>8.0</v>
      </c>
      <c r="BO98" s="169">
        <v>0.0</v>
      </c>
      <c r="BP98" s="169">
        <v>3.0</v>
      </c>
      <c r="BQ98" s="108"/>
      <c r="BR98" s="15">
        <v>2.0</v>
      </c>
      <c r="BS98" s="15">
        <v>0.0</v>
      </c>
      <c r="BT98" s="15">
        <v>0.0</v>
      </c>
      <c r="BU98" s="15">
        <v>42.0</v>
      </c>
      <c r="BV98" s="15" t="s">
        <v>469</v>
      </c>
      <c r="BW98" s="108"/>
      <c r="CC98" s="108"/>
      <c r="CI98" s="108"/>
      <c r="CO98" s="108"/>
      <c r="CU98" s="108"/>
      <c r="DA98" s="108"/>
      <c r="DG98" s="108"/>
      <c r="DM98" s="108"/>
      <c r="DS98" s="108"/>
      <c r="DT98" s="108"/>
      <c r="DU98" s="108"/>
      <c r="DW98" s="109"/>
      <c r="DX98" s="110">
        <f t="shared" si="13"/>
        <v>2</v>
      </c>
      <c r="DY98" s="111">
        <f t="shared" ref="DY98:DZ98" si="255">sum(BS98,BY98,CE98,CK98,CQ98,CW98,DC98,DI98,DO98)</f>
        <v>0</v>
      </c>
      <c r="DZ98" s="111">
        <f t="shared" si="255"/>
        <v>0</v>
      </c>
      <c r="EA98" s="110">
        <f t="shared" si="15"/>
        <v>42</v>
      </c>
      <c r="EB98" s="99" t="str">
        <f t="shared" si="16"/>
        <v>35 - 54</v>
      </c>
      <c r="EC98" s="112"/>
      <c r="ED98" s="113">
        <f t="shared" si="17"/>
        <v>4</v>
      </c>
      <c r="EE98" s="114">
        <f>IF(V98 &lt;&gt; "", 1+((V98-MIN(discount_rates))*(4)/(MAX(discount_rates) - MIN(discount_rates))), "")</f>
        <v>1</v>
      </c>
      <c r="EF98" s="114" t="str">
        <f>IF(Q98="Debt", (1+((S98-MIN(interest_rates))*(4)/(MAX(interest_rates) - MIN(interest_rates)))), "")</f>
        <v/>
      </c>
      <c r="EG98" s="114" t="str">
        <f>IF(OR(Q98="Revenue Share", Q98="Profit Share"), (1+((R98-MIN(return_mutiples))*(4)/(MAX(return_mutiples) - MIN(return_mutiples)))), "")</f>
        <v/>
      </c>
      <c r="EH98" s="115">
        <f t="shared" si="18"/>
        <v>4</v>
      </c>
      <c r="EI98" s="116" t="str">
        <f t="shared" si="19"/>
        <v>SAFE</v>
      </c>
      <c r="EJ98" s="117">
        <f t="shared" si="20"/>
        <v>0.3561643836</v>
      </c>
      <c r="EK98" s="116" t="str">
        <f t="shared" si="21"/>
        <v>Early</v>
      </c>
      <c r="EL98" s="112"/>
      <c r="EM98" s="118">
        <f t="shared" si="22"/>
        <v>4.7</v>
      </c>
      <c r="EN98" s="118">
        <f t="shared" si="23"/>
        <v>1.7</v>
      </c>
      <c r="EO98" s="119">
        <f t="shared" si="24"/>
        <v>6.4</v>
      </c>
      <c r="EP98" s="115">
        <f>1+((EO98-MIN(market_ratings_sums))*(4)/(MAX(market_ratings_sums) - MIN(market_ratings_sums)))</f>
        <v>3.596491228</v>
      </c>
      <c r="EQ98" s="116" t="str">
        <f t="shared" si="25"/>
        <v>No</v>
      </c>
      <c r="ER98" s="112"/>
      <c r="ES98" s="123">
        <f>1+((DX98-MIN(industry_experiences))*(4)/(MAX(industry_experiences) - MIN(industry_experiences)))</f>
        <v>1.19047619</v>
      </c>
      <c r="ET98" s="123">
        <f>1+((DY98-MIN(previous_startups))*(4)/(MAX(previous_startups) - MIN(previous_startups)))</f>
        <v>1</v>
      </c>
      <c r="EU98" s="123">
        <f>1+((DZ98-MIN(exits))*(4)/(MAX(exits) - MIN(exits)))</f>
        <v>1</v>
      </c>
      <c r="EV98" s="119">
        <f t="shared" si="26"/>
        <v>3.19047619</v>
      </c>
      <c r="EW98" s="124">
        <f>1+((EV98-MIN(team_ratings_sums))*(4)/(MAX(team_ratings_sums) - MIN(team_ratings_sums)))</f>
        <v>1.104347826</v>
      </c>
      <c r="EX98" s="116" t="str">
        <f t="shared" si="27"/>
        <v>35 - 54</v>
      </c>
      <c r="EY98" s="125">
        <f t="shared" si="28"/>
        <v>0.6849315068</v>
      </c>
      <c r="EZ98" s="116">
        <f t="shared" si="29"/>
        <v>1</v>
      </c>
      <c r="FA98" s="125">
        <f t="shared" si="30"/>
        <v>0.4383561644</v>
      </c>
      <c r="FB98" s="116">
        <f t="shared" si="31"/>
        <v>8</v>
      </c>
      <c r="FC98" s="125">
        <f t="shared" si="32"/>
        <v>0.05479452055</v>
      </c>
      <c r="FD98" s="116" t="str">
        <f t="shared" si="33"/>
        <v>No</v>
      </c>
      <c r="FE98" s="125">
        <f t="shared" si="34"/>
        <v>0.7534246575</v>
      </c>
      <c r="FF98" s="116" t="str">
        <f t="shared" ref="FF98:FH98" si="256">BJ98</f>
        <v>No</v>
      </c>
      <c r="FG98" s="116" t="str">
        <f t="shared" si="256"/>
        <v>No</v>
      </c>
      <c r="FH98" s="116" t="str">
        <f t="shared" si="256"/>
        <v>No</v>
      </c>
      <c r="FI98" s="112"/>
      <c r="FJ98" s="116" t="str">
        <f t="shared" si="36"/>
        <v>Transactional</v>
      </c>
      <c r="FK98" s="125">
        <f t="shared" si="37"/>
        <v>0.602739726</v>
      </c>
      <c r="FL98" s="116" t="str">
        <f t="shared" si="38"/>
        <v>B2B</v>
      </c>
      <c r="FM98" s="125">
        <f t="shared" si="39"/>
        <v>0.2465753425</v>
      </c>
      <c r="FN98" s="116" t="str">
        <f t="shared" si="40"/>
        <v>High</v>
      </c>
      <c r="FO98" s="125">
        <f t="shared" si="41"/>
        <v>0.5616438356</v>
      </c>
      <c r="FP98" s="116" t="str">
        <f t="shared" si="42"/>
        <v>High</v>
      </c>
      <c r="FQ98" s="125">
        <f t="shared" si="43"/>
        <v>0.6438356164</v>
      </c>
      <c r="FR98" s="112"/>
      <c r="FS98" s="123">
        <f t="shared" si="44"/>
        <v>1</v>
      </c>
      <c r="FT98" s="123">
        <f t="shared" si="45"/>
        <v>1</v>
      </c>
      <c r="FU98" s="123">
        <f t="shared" si="46"/>
        <v>5</v>
      </c>
      <c r="FV98" s="123">
        <f t="shared" si="47"/>
        <v>2.3</v>
      </c>
      <c r="FW98" s="119">
        <f t="shared" si="48"/>
        <v>9.3</v>
      </c>
      <c r="FX98" s="115">
        <f>1+((FW98-MIN(performance_ratings_sums))*(4)/(MAX(performance_ratings_sums) - MIN(performance_ratings_sums)))</f>
        <v>1.971962617</v>
      </c>
      <c r="FY98" s="116" t="str">
        <f t="shared" si="49"/>
        <v>Pre-Revenue</v>
      </c>
      <c r="FZ98" s="126">
        <f t="shared" si="50"/>
        <v>0.2054794521</v>
      </c>
      <c r="GA98" s="112"/>
      <c r="GB98" s="127">
        <f t="shared" si="51"/>
        <v>5</v>
      </c>
      <c r="GC98" s="116" t="str">
        <f t="shared" si="52"/>
        <v>No</v>
      </c>
      <c r="GD98" s="126">
        <f t="shared" si="53"/>
        <v>0.7671232877</v>
      </c>
      <c r="GE98" s="126" t="str">
        <f t="shared" si="54"/>
        <v>High</v>
      </c>
      <c r="GF98" s="126">
        <f t="shared" si="55"/>
        <v>0.4520547945</v>
      </c>
      <c r="GG98" s="126" t="str">
        <f t="shared" si="56"/>
        <v>Low</v>
      </c>
      <c r="GH98" s="126">
        <f t="shared" si="57"/>
        <v>0.1917808219</v>
      </c>
      <c r="GI98" s="112"/>
      <c r="GJ98" s="116"/>
      <c r="GK98" s="119">
        <f t="shared" si="58"/>
        <v>15.67280167</v>
      </c>
      <c r="GL98" s="128">
        <f>1+((GK98-MIN(ratings_sums))*(4)/(MAX(ratings_sums) - MIN(ratings_sums)))</f>
        <v>3.601638155</v>
      </c>
    </row>
    <row r="99" ht="15.75" customHeight="1">
      <c r="A99" s="176" t="s">
        <v>702</v>
      </c>
      <c r="B99" s="169">
        <v>1690474.0</v>
      </c>
      <c r="C99" s="177" t="s">
        <v>968</v>
      </c>
      <c r="D99" s="178">
        <v>43892.45694444444</v>
      </c>
      <c r="E99" s="170" t="s">
        <v>369</v>
      </c>
      <c r="F99" s="150" t="s">
        <v>969</v>
      </c>
      <c r="G99" s="150" t="s">
        <v>970</v>
      </c>
      <c r="H99" s="179">
        <v>43889.0</v>
      </c>
      <c r="I99" s="180" t="s">
        <v>971</v>
      </c>
      <c r="J99" s="180" t="s">
        <v>968</v>
      </c>
      <c r="K99" s="170" t="s">
        <v>419</v>
      </c>
      <c r="L99" s="170" t="s">
        <v>316</v>
      </c>
      <c r="M99" s="170" t="s">
        <v>31</v>
      </c>
      <c r="N99" s="170" t="s">
        <v>82</v>
      </c>
      <c r="O99" s="170" t="s">
        <v>35</v>
      </c>
      <c r="P99" s="171"/>
      <c r="Q99" s="170" t="s">
        <v>195</v>
      </c>
      <c r="R99" s="181"/>
      <c r="S99" s="182"/>
      <c r="T99" s="183"/>
      <c r="U99" s="184">
        <v>1.475E7</v>
      </c>
      <c r="V99" s="185">
        <v>0.0</v>
      </c>
      <c r="W99" s="96">
        <f t="shared" si="125"/>
        <v>14750000</v>
      </c>
      <c r="X99" s="98">
        <f t="shared" si="126"/>
        <v>14750000</v>
      </c>
      <c r="Y99" s="99" t="str">
        <f t="shared" si="127"/>
        <v>$14M - $16M</v>
      </c>
      <c r="Z99" s="170" t="s">
        <v>36</v>
      </c>
      <c r="AA99" s="170" t="s">
        <v>123</v>
      </c>
      <c r="AB99" s="170" t="s">
        <v>88</v>
      </c>
      <c r="AC99" s="170" t="s">
        <v>493</v>
      </c>
      <c r="AD99" s="170" t="s">
        <v>39</v>
      </c>
      <c r="AE99" s="170" t="s">
        <v>39</v>
      </c>
      <c r="AF99" s="170" t="s">
        <v>469</v>
      </c>
      <c r="AG99" s="184">
        <v>1.2E9</v>
      </c>
      <c r="AH99" s="97" t="str">
        <f t="shared" si="128"/>
        <v>$1B-$5B</v>
      </c>
      <c r="AI99" s="184">
        <v>1.2E9</v>
      </c>
      <c r="AJ99" s="97" t="str">
        <f t="shared" si="129"/>
        <v>$1B-$5B</v>
      </c>
      <c r="AK99" s="186">
        <v>0.033</v>
      </c>
      <c r="AL99" s="88" t="str">
        <f t="shared" si="130"/>
        <v>0%-10%</v>
      </c>
      <c r="AM99" s="169">
        <v>7.0</v>
      </c>
      <c r="AN99" s="170" t="s">
        <v>39</v>
      </c>
      <c r="AO99" s="170" t="s">
        <v>89</v>
      </c>
      <c r="AP99" s="170" t="s">
        <v>90</v>
      </c>
      <c r="AQ99" s="100" t="s">
        <v>39</v>
      </c>
      <c r="AR99" s="100" t="s">
        <v>39</v>
      </c>
      <c r="AS99" s="170" t="s">
        <v>469</v>
      </c>
      <c r="AT99" s="170" t="s">
        <v>493</v>
      </c>
      <c r="AU99" s="170" t="s">
        <v>493</v>
      </c>
      <c r="AV99" s="170" t="s">
        <v>493</v>
      </c>
      <c r="AW99" s="184">
        <v>0.0</v>
      </c>
      <c r="AX99" s="96" t="str">
        <f t="shared" si="131"/>
        <v>&lt; $10K</v>
      </c>
      <c r="AY99" s="184">
        <v>10181.0</v>
      </c>
      <c r="AZ99" s="21">
        <v>600000.0</v>
      </c>
      <c r="BA99" s="103" t="str">
        <f t="shared" si="132"/>
        <v>$500K - $1M</v>
      </c>
      <c r="BB99" s="103">
        <f t="shared" si="133"/>
        <v>0.01696833333</v>
      </c>
      <c r="BC99" s="103" t="str">
        <f t="shared" si="134"/>
        <v>&lt; 10%</v>
      </c>
      <c r="BD99" s="170" t="s">
        <v>107</v>
      </c>
      <c r="BE99" s="171"/>
      <c r="BF99" s="170" t="s">
        <v>469</v>
      </c>
      <c r="BG99" s="170">
        <v>0.0</v>
      </c>
      <c r="BH99" s="169">
        <v>4.0</v>
      </c>
      <c r="BI99" s="170" t="s">
        <v>493</v>
      </c>
      <c r="BJ99" s="170" t="s">
        <v>493</v>
      </c>
      <c r="BK99" s="170" t="s">
        <v>493</v>
      </c>
      <c r="BL99" s="170" t="s">
        <v>469</v>
      </c>
      <c r="BM99" s="169">
        <v>7.0</v>
      </c>
      <c r="BN99" s="169">
        <v>11.0</v>
      </c>
      <c r="BO99" s="169">
        <v>2.0</v>
      </c>
      <c r="BP99" s="169">
        <v>0.0</v>
      </c>
      <c r="BQ99" s="108"/>
      <c r="BR99" s="15">
        <v>4.0</v>
      </c>
      <c r="BS99" s="15">
        <v>1.0</v>
      </c>
      <c r="BT99" s="15">
        <v>0.0</v>
      </c>
      <c r="BU99" s="15">
        <v>28.0</v>
      </c>
      <c r="BV99" s="15" t="s">
        <v>469</v>
      </c>
      <c r="BW99" s="108"/>
      <c r="BX99" s="15">
        <v>8.0</v>
      </c>
      <c r="BY99" s="15">
        <v>2.0</v>
      </c>
      <c r="BZ99" s="15">
        <v>0.0</v>
      </c>
      <c r="CA99" s="15">
        <v>28.0</v>
      </c>
      <c r="CB99" s="15" t="s">
        <v>469</v>
      </c>
      <c r="CC99" s="108"/>
      <c r="CD99" s="15">
        <v>4.0</v>
      </c>
      <c r="CE99" s="15">
        <v>1.0</v>
      </c>
      <c r="CF99" s="15">
        <v>0.0</v>
      </c>
      <c r="CG99" s="15">
        <v>28.0</v>
      </c>
      <c r="CH99" s="15" t="s">
        <v>469</v>
      </c>
      <c r="CI99" s="108"/>
      <c r="CJ99" s="15">
        <v>4.0</v>
      </c>
      <c r="CK99" s="15">
        <v>1.0</v>
      </c>
      <c r="CL99" s="15">
        <v>0.0</v>
      </c>
      <c r="CM99" s="15">
        <v>60.0</v>
      </c>
      <c r="CN99" s="15" t="s">
        <v>493</v>
      </c>
      <c r="CO99" s="108"/>
      <c r="CU99" s="108"/>
      <c r="DA99" s="108"/>
      <c r="DG99" s="108"/>
      <c r="DM99" s="108"/>
      <c r="DS99" s="108"/>
      <c r="DT99" s="108"/>
      <c r="DU99" s="108"/>
      <c r="DW99" s="109"/>
      <c r="DX99" s="110">
        <f t="shared" si="13"/>
        <v>5</v>
      </c>
      <c r="DY99" s="111">
        <f t="shared" ref="DY99:DZ99" si="257">sum(BS99,BY99,CE99,CK99,CQ99,CW99,DC99,DI99,DO99)</f>
        <v>5</v>
      </c>
      <c r="DZ99" s="111">
        <f t="shared" si="257"/>
        <v>0</v>
      </c>
      <c r="EA99" s="110">
        <f t="shared" si="15"/>
        <v>36</v>
      </c>
      <c r="EB99" s="99" t="str">
        <f t="shared" si="16"/>
        <v>35 - 54</v>
      </c>
      <c r="EC99" s="112"/>
      <c r="ED99" s="113">
        <f t="shared" si="17"/>
        <v>3.5</v>
      </c>
      <c r="EE99" s="114">
        <f>IF(V99 &lt;&gt; "", 1+((V99-MIN(discount_rates))*(4)/(MAX(discount_rates) - MIN(discount_rates))), "")</f>
        <v>1</v>
      </c>
      <c r="EF99" s="114" t="str">
        <f>IF(Q99="Debt", (1+((S99-MIN(interest_rates))*(4)/(MAX(interest_rates) - MIN(interest_rates)))), "")</f>
        <v/>
      </c>
      <c r="EG99" s="114" t="str">
        <f>IF(OR(Q99="Revenue Share", Q99="Profit Share"), (1+((R99-MIN(return_mutiples))*(4)/(MAX(return_mutiples) - MIN(return_mutiples)))), "")</f>
        <v/>
      </c>
      <c r="EH99" s="115">
        <f t="shared" si="18"/>
        <v>3.5</v>
      </c>
      <c r="EI99" s="116" t="str">
        <f t="shared" si="19"/>
        <v>SAFE</v>
      </c>
      <c r="EJ99" s="117">
        <f t="shared" si="20"/>
        <v>0.3561643836</v>
      </c>
      <c r="EK99" s="116" t="str">
        <f t="shared" si="21"/>
        <v>Early</v>
      </c>
      <c r="EL99" s="112"/>
      <c r="EM99" s="118">
        <f t="shared" si="22"/>
        <v>2.7</v>
      </c>
      <c r="EN99" s="118">
        <f t="shared" si="23"/>
        <v>1.7</v>
      </c>
      <c r="EO99" s="119">
        <f t="shared" si="24"/>
        <v>4.4</v>
      </c>
      <c r="EP99" s="115">
        <f>1+((EO99-MIN(market_ratings_sums))*(4)/(MAX(market_ratings_sums) - MIN(market_ratings_sums)))</f>
        <v>2.192982456</v>
      </c>
      <c r="EQ99" s="116" t="str">
        <f t="shared" si="25"/>
        <v>No</v>
      </c>
      <c r="ER99" s="112"/>
      <c r="ES99" s="123">
        <f>1+((DX99-MIN(industry_experiences))*(4)/(MAX(industry_experiences) - MIN(industry_experiences)))</f>
        <v>1.476190476</v>
      </c>
      <c r="ET99" s="123">
        <f>1+((DY99-MIN(previous_startups))*(4)/(MAX(previous_startups) - MIN(previous_startups)))</f>
        <v>3.222222222</v>
      </c>
      <c r="EU99" s="123">
        <f>1+((DZ99-MIN(exits))*(4)/(MAX(exits) - MIN(exits)))</f>
        <v>1</v>
      </c>
      <c r="EV99" s="119">
        <f t="shared" si="26"/>
        <v>5.698412698</v>
      </c>
      <c r="EW99" s="124">
        <f>1+((EV99-MIN(team_ratings_sums))*(4)/(MAX(team_ratings_sums) - MIN(team_ratings_sums)))</f>
        <v>2.47826087</v>
      </c>
      <c r="EX99" s="116" t="str">
        <f t="shared" si="27"/>
        <v>35 - 54</v>
      </c>
      <c r="EY99" s="125">
        <f t="shared" si="28"/>
        <v>0.6849315068</v>
      </c>
      <c r="EZ99" s="116">
        <f t="shared" si="29"/>
        <v>4</v>
      </c>
      <c r="FA99" s="125">
        <f t="shared" si="30"/>
        <v>0.05479452055</v>
      </c>
      <c r="FB99" s="116">
        <f t="shared" si="31"/>
        <v>11</v>
      </c>
      <c r="FC99" s="125">
        <f t="shared" si="32"/>
        <v>0.02739726027</v>
      </c>
      <c r="FD99" s="116" t="str">
        <f t="shared" si="33"/>
        <v>Yes</v>
      </c>
      <c r="FE99" s="125">
        <f t="shared" si="34"/>
        <v>0.2465753425</v>
      </c>
      <c r="FF99" s="116" t="str">
        <f t="shared" ref="FF99:FH99" si="258">BJ99</f>
        <v>Yes</v>
      </c>
      <c r="FG99" s="116" t="str">
        <f t="shared" si="258"/>
        <v>Yes</v>
      </c>
      <c r="FH99" s="116" t="str">
        <f t="shared" si="258"/>
        <v>No</v>
      </c>
      <c r="FI99" s="112"/>
      <c r="FJ99" s="116" t="str">
        <f t="shared" si="36"/>
        <v>Transactional</v>
      </c>
      <c r="FK99" s="125">
        <f t="shared" si="37"/>
        <v>0.602739726</v>
      </c>
      <c r="FL99" s="116" t="str">
        <f t="shared" si="38"/>
        <v>B2B/B2C</v>
      </c>
      <c r="FM99" s="125">
        <f t="shared" si="39"/>
        <v>0.3287671233</v>
      </c>
      <c r="FN99" s="116" t="str">
        <f t="shared" si="40"/>
        <v>High</v>
      </c>
      <c r="FO99" s="125">
        <f t="shared" si="41"/>
        <v>0.5616438356</v>
      </c>
      <c r="FP99" s="116" t="str">
        <f t="shared" si="42"/>
        <v>High</v>
      </c>
      <c r="FQ99" s="125">
        <f t="shared" si="43"/>
        <v>0.6438356164</v>
      </c>
      <c r="FR99" s="112"/>
      <c r="FS99" s="123">
        <f t="shared" si="44"/>
        <v>5</v>
      </c>
      <c r="FT99" s="123">
        <f t="shared" si="45"/>
        <v>1</v>
      </c>
      <c r="FU99" s="123">
        <f t="shared" si="46"/>
        <v>5</v>
      </c>
      <c r="FV99" s="123">
        <f t="shared" si="47"/>
        <v>3.2</v>
      </c>
      <c r="FW99" s="119">
        <f t="shared" si="48"/>
        <v>14.2</v>
      </c>
      <c r="FX99" s="115">
        <f>1+((FW99-MIN(performance_ratings_sums))*(4)/(MAX(performance_ratings_sums) - MIN(performance_ratings_sums)))</f>
        <v>3.803738318</v>
      </c>
      <c r="FY99" s="116" t="str">
        <f t="shared" si="49"/>
        <v>Pre-Profit</v>
      </c>
      <c r="FZ99" s="126">
        <f t="shared" si="50"/>
        <v>0.4931506849</v>
      </c>
      <c r="GA99" s="112"/>
      <c r="GB99" s="127">
        <f t="shared" si="51"/>
        <v>3</v>
      </c>
      <c r="GC99" s="116" t="str">
        <f t="shared" si="52"/>
        <v>Yes</v>
      </c>
      <c r="GD99" s="126">
        <f t="shared" si="53"/>
        <v>0.2328767123</v>
      </c>
      <c r="GE99" s="126" t="str">
        <f t="shared" si="54"/>
        <v>High</v>
      </c>
      <c r="GF99" s="126">
        <f t="shared" si="55"/>
        <v>0.4520547945</v>
      </c>
      <c r="GG99" s="126" t="str">
        <f t="shared" si="56"/>
        <v>High</v>
      </c>
      <c r="GH99" s="126">
        <f t="shared" si="57"/>
        <v>0.8082191781</v>
      </c>
      <c r="GI99" s="112"/>
      <c r="GJ99" s="116"/>
      <c r="GK99" s="119">
        <f t="shared" si="58"/>
        <v>14.97498164</v>
      </c>
      <c r="GL99" s="128">
        <f>1+((GK99-MIN(ratings_sums))*(4)/(MAX(ratings_sums) - MIN(ratings_sums)))</f>
        <v>3.387519081</v>
      </c>
    </row>
    <row r="100" ht="15.75" customHeight="1">
      <c r="A100" s="176" t="s">
        <v>702</v>
      </c>
      <c r="B100" s="169">
        <v>1749594.0</v>
      </c>
      <c r="C100" s="177" t="s">
        <v>972</v>
      </c>
      <c r="D100" s="178">
        <v>43892.459027777775</v>
      </c>
      <c r="E100" s="170" t="s">
        <v>369</v>
      </c>
      <c r="F100" s="150" t="s">
        <v>973</v>
      </c>
      <c r="G100" s="150" t="s">
        <v>974</v>
      </c>
      <c r="H100" s="179">
        <v>43885.0</v>
      </c>
      <c r="I100" s="180" t="s">
        <v>975</v>
      </c>
      <c r="J100" s="180" t="s">
        <v>972</v>
      </c>
      <c r="K100" s="170" t="s">
        <v>448</v>
      </c>
      <c r="L100" s="170" t="s">
        <v>117</v>
      </c>
      <c r="M100" s="170" t="s">
        <v>31</v>
      </c>
      <c r="N100" s="170" t="s">
        <v>82</v>
      </c>
      <c r="O100" s="170" t="s">
        <v>35</v>
      </c>
      <c r="P100" s="171"/>
      <c r="Q100" s="170" t="s">
        <v>195</v>
      </c>
      <c r="R100" s="181"/>
      <c r="S100" s="182"/>
      <c r="T100" s="183"/>
      <c r="U100" s="184">
        <v>1.0E7</v>
      </c>
      <c r="V100" s="185">
        <v>0.1</v>
      </c>
      <c r="W100" s="96">
        <f t="shared" si="125"/>
        <v>9000000</v>
      </c>
      <c r="X100" s="98">
        <f t="shared" si="126"/>
        <v>9000000</v>
      </c>
      <c r="Y100" s="99" t="str">
        <f t="shared" si="127"/>
        <v>$8M - $10M</v>
      </c>
      <c r="Z100" s="170" t="s">
        <v>36</v>
      </c>
      <c r="AA100" s="170" t="s">
        <v>123</v>
      </c>
      <c r="AB100" s="170" t="s">
        <v>38</v>
      </c>
      <c r="AC100" s="170" t="s">
        <v>469</v>
      </c>
      <c r="AD100" s="170" t="s">
        <v>39</v>
      </c>
      <c r="AE100" s="170" t="s">
        <v>39</v>
      </c>
      <c r="AF100" s="170" t="s">
        <v>493</v>
      </c>
      <c r="AG100" s="184">
        <v>3.05061E11</v>
      </c>
      <c r="AH100" s="97" t="str">
        <f t="shared" si="128"/>
        <v>$250B-$500B</v>
      </c>
      <c r="AI100" s="184">
        <v>3.05061E11</v>
      </c>
      <c r="AJ100" s="97" t="str">
        <f t="shared" si="129"/>
        <v>$250B-$500B</v>
      </c>
      <c r="AK100" s="186">
        <v>0.064</v>
      </c>
      <c r="AL100" s="88" t="str">
        <f t="shared" si="130"/>
        <v>0%-10%</v>
      </c>
      <c r="AM100" s="169">
        <v>1000.0</v>
      </c>
      <c r="AN100" s="170" t="s">
        <v>39</v>
      </c>
      <c r="AO100" s="170" t="s">
        <v>89</v>
      </c>
      <c r="AP100" s="170" t="s">
        <v>40</v>
      </c>
      <c r="AQ100" s="100" t="s">
        <v>39</v>
      </c>
      <c r="AR100" s="100" t="s">
        <v>39</v>
      </c>
      <c r="AS100" s="170" t="s">
        <v>493</v>
      </c>
      <c r="AT100" s="170" t="s">
        <v>469</v>
      </c>
      <c r="AU100" s="170" t="s">
        <v>493</v>
      </c>
      <c r="AV100" s="170" t="s">
        <v>493</v>
      </c>
      <c r="AW100" s="184">
        <v>184942.0</v>
      </c>
      <c r="AX100" s="96" t="str">
        <f t="shared" si="131"/>
        <v>$100K - $500K</v>
      </c>
      <c r="AY100" s="184">
        <v>14764.0</v>
      </c>
      <c r="AZ100" s="21">
        <v>1050000.0</v>
      </c>
      <c r="BA100" s="103" t="str">
        <f t="shared" si="132"/>
        <v>$1M - $2M</v>
      </c>
      <c r="BB100" s="103">
        <f t="shared" si="133"/>
        <v>0.01406095238</v>
      </c>
      <c r="BC100" s="103" t="str">
        <f t="shared" si="134"/>
        <v>&lt; 10%</v>
      </c>
      <c r="BD100" s="170" t="s">
        <v>107</v>
      </c>
      <c r="BE100" s="171"/>
      <c r="BF100" s="170" t="s">
        <v>493</v>
      </c>
      <c r="BG100" s="170">
        <v>2.0</v>
      </c>
      <c r="BH100" s="169">
        <v>1.0</v>
      </c>
      <c r="BI100" s="90" t="s">
        <v>469</v>
      </c>
      <c r="BJ100" s="170" t="s">
        <v>469</v>
      </c>
      <c r="BK100" s="170" t="s">
        <v>469</v>
      </c>
      <c r="BL100" s="170" t="s">
        <v>469</v>
      </c>
      <c r="BM100" s="169">
        <v>3.0</v>
      </c>
      <c r="BN100" s="169">
        <v>5.0</v>
      </c>
      <c r="BO100" s="169">
        <v>11.0</v>
      </c>
      <c r="BP100" s="169">
        <v>3.0</v>
      </c>
      <c r="BQ100" s="108"/>
      <c r="BR100" s="15">
        <v>7.0</v>
      </c>
      <c r="BS100" s="15">
        <v>2.0</v>
      </c>
      <c r="BT100" s="15">
        <v>0.0</v>
      </c>
      <c r="BU100" s="15">
        <v>38.0</v>
      </c>
      <c r="BV100" s="15" t="s">
        <v>469</v>
      </c>
      <c r="BW100" s="108"/>
      <c r="CC100" s="108"/>
      <c r="CI100" s="108"/>
      <c r="CO100" s="108"/>
      <c r="CU100" s="108"/>
      <c r="DA100" s="108"/>
      <c r="DG100" s="108"/>
      <c r="DM100" s="108"/>
      <c r="DS100" s="108"/>
      <c r="DT100" s="108"/>
      <c r="DU100" s="108"/>
      <c r="DW100" s="109"/>
      <c r="DX100" s="110">
        <f t="shared" si="13"/>
        <v>7</v>
      </c>
      <c r="DY100" s="111">
        <f t="shared" ref="DY100:DZ100" si="259">sum(BS100,BY100,CE100,CK100,CQ100,CW100,DC100,DI100,DO100)</f>
        <v>2</v>
      </c>
      <c r="DZ100" s="111">
        <f t="shared" si="259"/>
        <v>0</v>
      </c>
      <c r="EA100" s="110">
        <f t="shared" si="15"/>
        <v>38</v>
      </c>
      <c r="EB100" s="99" t="str">
        <f t="shared" si="16"/>
        <v>35 - 54</v>
      </c>
      <c r="EC100" s="112"/>
      <c r="ED100" s="113">
        <f t="shared" si="17"/>
        <v>4</v>
      </c>
      <c r="EE100" s="114">
        <f>IF(V100 &lt;&gt; "", 1+((V100-MIN(discount_rates))*(4)/(MAX(discount_rates) - MIN(discount_rates))), "")</f>
        <v>2.052631579</v>
      </c>
      <c r="EF100" s="114" t="str">
        <f>IF(Q100="Debt", (1+((S100-MIN(interest_rates))*(4)/(MAX(interest_rates) - MIN(interest_rates)))), "")</f>
        <v/>
      </c>
      <c r="EG100" s="114" t="str">
        <f>IF(OR(Q100="Revenue Share", Q100="Profit Share"), (1+((R100-MIN(return_mutiples))*(4)/(MAX(return_mutiples) - MIN(return_mutiples)))), "")</f>
        <v/>
      </c>
      <c r="EH100" s="115">
        <f t="shared" si="18"/>
        <v>4</v>
      </c>
      <c r="EI100" s="116" t="str">
        <f t="shared" si="19"/>
        <v>SAFE</v>
      </c>
      <c r="EJ100" s="117">
        <f t="shared" si="20"/>
        <v>0.3561643836</v>
      </c>
      <c r="EK100" s="116" t="str">
        <f t="shared" si="21"/>
        <v>Early</v>
      </c>
      <c r="EL100" s="112"/>
      <c r="EM100" s="118">
        <f t="shared" si="22"/>
        <v>4.4</v>
      </c>
      <c r="EN100" s="118">
        <f t="shared" si="23"/>
        <v>1.7</v>
      </c>
      <c r="EO100" s="119">
        <f t="shared" si="24"/>
        <v>6.1</v>
      </c>
      <c r="EP100" s="115">
        <f>1+((EO100-MIN(market_ratings_sums))*(4)/(MAX(market_ratings_sums) - MIN(market_ratings_sums)))</f>
        <v>3.385964912</v>
      </c>
      <c r="EQ100" s="116" t="str">
        <f t="shared" si="25"/>
        <v>Yes</v>
      </c>
      <c r="ER100" s="112"/>
      <c r="ES100" s="123">
        <f>1+((DX100-MIN(industry_experiences))*(4)/(MAX(industry_experiences) - MIN(industry_experiences)))</f>
        <v>1.666666667</v>
      </c>
      <c r="ET100" s="123">
        <f>1+((DY100-MIN(previous_startups))*(4)/(MAX(previous_startups) - MIN(previous_startups)))</f>
        <v>1.888888889</v>
      </c>
      <c r="EU100" s="123">
        <f>1+((DZ100-MIN(exits))*(4)/(MAX(exits) - MIN(exits)))</f>
        <v>1</v>
      </c>
      <c r="EV100" s="119">
        <f t="shared" si="26"/>
        <v>4.555555556</v>
      </c>
      <c r="EW100" s="124">
        <f>1+((EV100-MIN(team_ratings_sums))*(4)/(MAX(team_ratings_sums) - MIN(team_ratings_sums)))</f>
        <v>1.852173913</v>
      </c>
      <c r="EX100" s="116" t="str">
        <f t="shared" si="27"/>
        <v>35 - 54</v>
      </c>
      <c r="EY100" s="125">
        <f t="shared" si="28"/>
        <v>0.6849315068</v>
      </c>
      <c r="EZ100" s="116">
        <f t="shared" si="29"/>
        <v>1</v>
      </c>
      <c r="FA100" s="125">
        <f t="shared" si="30"/>
        <v>0.4383561644</v>
      </c>
      <c r="FB100" s="116">
        <f t="shared" si="31"/>
        <v>5</v>
      </c>
      <c r="FC100" s="125">
        <f t="shared" si="32"/>
        <v>0.1369863014</v>
      </c>
      <c r="FD100" s="116" t="str">
        <f t="shared" si="33"/>
        <v>No</v>
      </c>
      <c r="FE100" s="125">
        <f t="shared" si="34"/>
        <v>0.7534246575</v>
      </c>
      <c r="FF100" s="116" t="str">
        <f t="shared" ref="FF100:FH100" si="260">BJ100</f>
        <v>No</v>
      </c>
      <c r="FG100" s="116" t="str">
        <f t="shared" si="260"/>
        <v>No</v>
      </c>
      <c r="FH100" s="116" t="str">
        <f t="shared" si="260"/>
        <v>No</v>
      </c>
      <c r="FI100" s="112"/>
      <c r="FJ100" s="116" t="str">
        <f t="shared" si="36"/>
        <v>Transactional</v>
      </c>
      <c r="FK100" s="125">
        <f t="shared" si="37"/>
        <v>0.602739726</v>
      </c>
      <c r="FL100" s="116" t="str">
        <f t="shared" si="38"/>
        <v>B2B/B2C</v>
      </c>
      <c r="FM100" s="125">
        <f t="shared" si="39"/>
        <v>0.3287671233</v>
      </c>
      <c r="FN100" s="116" t="str">
        <f t="shared" si="40"/>
        <v>High</v>
      </c>
      <c r="FO100" s="125">
        <f t="shared" si="41"/>
        <v>0.5616438356</v>
      </c>
      <c r="FP100" s="116" t="str">
        <f t="shared" si="42"/>
        <v>High</v>
      </c>
      <c r="FQ100" s="125">
        <f t="shared" si="43"/>
        <v>0.6438356164</v>
      </c>
      <c r="FR100" s="112"/>
      <c r="FS100" s="123">
        <f t="shared" si="44"/>
        <v>5</v>
      </c>
      <c r="FT100" s="123">
        <f t="shared" si="45"/>
        <v>2.3</v>
      </c>
      <c r="FU100" s="123">
        <f t="shared" si="46"/>
        <v>5</v>
      </c>
      <c r="FV100" s="123">
        <f t="shared" si="47"/>
        <v>2.8</v>
      </c>
      <c r="FW100" s="119">
        <f t="shared" si="48"/>
        <v>15.1</v>
      </c>
      <c r="FX100" s="115">
        <f>1+((FW100-MIN(performance_ratings_sums))*(4)/(MAX(performance_ratings_sums) - MIN(performance_ratings_sums)))</f>
        <v>4.140186916</v>
      </c>
      <c r="FY100" s="116" t="str">
        <f t="shared" si="49"/>
        <v>Pre-Profit</v>
      </c>
      <c r="FZ100" s="126">
        <f t="shared" si="50"/>
        <v>0.4931506849</v>
      </c>
      <c r="GA100" s="112"/>
      <c r="GB100" s="127">
        <f t="shared" si="51"/>
        <v>3</v>
      </c>
      <c r="GC100" s="116" t="str">
        <f t="shared" si="52"/>
        <v>No</v>
      </c>
      <c r="GD100" s="126">
        <f t="shared" si="53"/>
        <v>0.7671232877</v>
      </c>
      <c r="GE100" s="126" t="str">
        <f t="shared" si="54"/>
        <v>High</v>
      </c>
      <c r="GF100" s="126">
        <f t="shared" si="55"/>
        <v>0.4520547945</v>
      </c>
      <c r="GG100" s="126" t="str">
        <f t="shared" si="56"/>
        <v>High</v>
      </c>
      <c r="GH100" s="126">
        <f t="shared" si="57"/>
        <v>0.8082191781</v>
      </c>
      <c r="GI100" s="112"/>
      <c r="GJ100" s="116"/>
      <c r="GK100" s="119">
        <f t="shared" si="58"/>
        <v>16.37832574</v>
      </c>
      <c r="GL100" s="128">
        <f>1+((GK100-MIN(ratings_sums))*(4)/(MAX(ratings_sums) - MIN(ratings_sums)))</f>
        <v>3.818121138</v>
      </c>
    </row>
    <row r="101" ht="15.75" customHeight="1">
      <c r="A101" s="176" t="s">
        <v>702</v>
      </c>
      <c r="B101" s="169">
        <v>1793079.0</v>
      </c>
      <c r="C101" s="177" t="s">
        <v>976</v>
      </c>
      <c r="D101" s="178">
        <v>43892.46111111111</v>
      </c>
      <c r="E101" s="170" t="s">
        <v>369</v>
      </c>
      <c r="F101" s="150" t="s">
        <v>977</v>
      </c>
      <c r="G101" s="150" t="s">
        <v>978</v>
      </c>
      <c r="H101" s="179">
        <v>43889.0</v>
      </c>
      <c r="I101" s="180" t="s">
        <v>979</v>
      </c>
      <c r="J101" s="180" t="s">
        <v>976</v>
      </c>
      <c r="K101" s="170" t="s">
        <v>503</v>
      </c>
      <c r="L101" s="170" t="s">
        <v>355</v>
      </c>
      <c r="M101" s="170" t="s">
        <v>31</v>
      </c>
      <c r="N101" s="170" t="s">
        <v>82</v>
      </c>
      <c r="O101" s="170" t="s">
        <v>35</v>
      </c>
      <c r="P101" s="174"/>
      <c r="Q101" s="170" t="s">
        <v>195</v>
      </c>
      <c r="R101" s="181"/>
      <c r="S101" s="182"/>
      <c r="T101" s="183"/>
      <c r="U101" s="184">
        <v>1.25E7</v>
      </c>
      <c r="V101" s="185">
        <v>0.2</v>
      </c>
      <c r="W101" s="96">
        <f t="shared" si="125"/>
        <v>10000000</v>
      </c>
      <c r="X101" s="98">
        <f t="shared" si="126"/>
        <v>10000000</v>
      </c>
      <c r="Y101" s="99" t="str">
        <f t="shared" si="127"/>
        <v>$8M - $10M</v>
      </c>
      <c r="Z101" s="170" t="s">
        <v>86</v>
      </c>
      <c r="AA101" s="170" t="s">
        <v>105</v>
      </c>
      <c r="AB101" s="170" t="s">
        <v>88</v>
      </c>
      <c r="AC101" s="170" t="s">
        <v>493</v>
      </c>
      <c r="AD101" s="170" t="s">
        <v>39</v>
      </c>
      <c r="AE101" s="170" t="s">
        <v>39</v>
      </c>
      <c r="AF101" s="170" t="s">
        <v>469</v>
      </c>
      <c r="AG101" s="208">
        <v>1.3382699E9</v>
      </c>
      <c r="AH101" s="97" t="str">
        <f t="shared" si="128"/>
        <v>$1B-$5B</v>
      </c>
      <c r="AI101" s="184">
        <v>1.3382699E9</v>
      </c>
      <c r="AJ101" s="97" t="str">
        <f t="shared" si="129"/>
        <v>$1B-$5B</v>
      </c>
      <c r="AK101" s="186">
        <v>0.103</v>
      </c>
      <c r="AL101" s="88" t="str">
        <f t="shared" si="130"/>
        <v>10%-20%</v>
      </c>
      <c r="AM101" s="169">
        <v>1000.0</v>
      </c>
      <c r="AN101" s="170" t="s">
        <v>39</v>
      </c>
      <c r="AO101" s="170" t="s">
        <v>89</v>
      </c>
      <c r="AP101" s="170" t="s">
        <v>90</v>
      </c>
      <c r="AQ101" s="100" t="s">
        <v>39</v>
      </c>
      <c r="AR101" s="100" t="s">
        <v>39</v>
      </c>
      <c r="AS101" s="170" t="s">
        <v>469</v>
      </c>
      <c r="AT101" s="170" t="s">
        <v>469</v>
      </c>
      <c r="AU101" s="170" t="s">
        <v>493</v>
      </c>
      <c r="AV101" s="170" t="s">
        <v>493</v>
      </c>
      <c r="AW101" s="184">
        <v>0.0</v>
      </c>
      <c r="AX101" s="96" t="str">
        <f t="shared" si="131"/>
        <v>&lt; $10K</v>
      </c>
      <c r="AY101" s="184">
        <v>34961.0</v>
      </c>
      <c r="AZ101" s="184">
        <v>1800000.0</v>
      </c>
      <c r="BA101" s="103" t="str">
        <f t="shared" si="132"/>
        <v>$1M - $2M</v>
      </c>
      <c r="BB101" s="103">
        <f t="shared" si="133"/>
        <v>0.01942277778</v>
      </c>
      <c r="BC101" s="103" t="str">
        <f t="shared" si="134"/>
        <v>&lt; 10%</v>
      </c>
      <c r="BD101" s="170" t="s">
        <v>107</v>
      </c>
      <c r="BE101" s="174"/>
      <c r="BF101" s="170" t="s">
        <v>493</v>
      </c>
      <c r="BG101" s="170">
        <v>10.0</v>
      </c>
      <c r="BH101" s="169">
        <v>2.0</v>
      </c>
      <c r="BI101" s="170" t="s">
        <v>493</v>
      </c>
      <c r="BJ101" s="170" t="s">
        <v>469</v>
      </c>
      <c r="BK101" s="170" t="s">
        <v>493</v>
      </c>
      <c r="BL101" s="170" t="s">
        <v>469</v>
      </c>
      <c r="BM101" s="169">
        <v>2.0</v>
      </c>
      <c r="BN101" s="169">
        <v>7.0</v>
      </c>
      <c r="BO101" s="169">
        <v>0.0</v>
      </c>
      <c r="BP101" s="169">
        <v>9.0</v>
      </c>
      <c r="BQ101" s="108"/>
      <c r="BR101" s="15">
        <v>35.0</v>
      </c>
      <c r="BS101" s="15">
        <v>4.0</v>
      </c>
      <c r="BT101" s="15">
        <v>3.0</v>
      </c>
      <c r="BU101" s="15">
        <v>60.0</v>
      </c>
      <c r="BV101" s="15" t="s">
        <v>469</v>
      </c>
      <c r="BW101" s="108"/>
      <c r="BX101" s="15">
        <v>9.0</v>
      </c>
      <c r="BY101" s="15">
        <v>0.0</v>
      </c>
      <c r="BZ101" s="15">
        <v>0.0</v>
      </c>
      <c r="CA101" s="15">
        <v>31.0</v>
      </c>
      <c r="CB101" s="15" t="s">
        <v>493</v>
      </c>
      <c r="CC101" s="108"/>
      <c r="CI101" s="108"/>
      <c r="CO101" s="108"/>
      <c r="CU101" s="108"/>
      <c r="DA101" s="108"/>
      <c r="DG101" s="108"/>
      <c r="DM101" s="108"/>
      <c r="DS101" s="108"/>
      <c r="DT101" s="108"/>
      <c r="DU101" s="108"/>
      <c r="DW101" s="109"/>
      <c r="DX101" s="110">
        <f t="shared" si="13"/>
        <v>22</v>
      </c>
      <c r="DY101" s="111">
        <f t="shared" ref="DY101:DZ101" si="261">sum(BS101,BY101,CE101,CK101,CQ101,CW101,DC101,DI101,DO101)</f>
        <v>4</v>
      </c>
      <c r="DZ101" s="111">
        <f t="shared" si="261"/>
        <v>3</v>
      </c>
      <c r="EA101" s="110">
        <f t="shared" si="15"/>
        <v>45.5</v>
      </c>
      <c r="EB101" s="99" t="str">
        <f t="shared" si="16"/>
        <v>35 - 54</v>
      </c>
      <c r="EC101" s="112"/>
      <c r="ED101" s="113">
        <f t="shared" si="17"/>
        <v>4</v>
      </c>
      <c r="EE101" s="114">
        <f>IF(V101 &lt;&gt; "", 1+((V101-MIN(discount_rates))*(4)/(MAX(discount_rates) - MIN(discount_rates))), "")</f>
        <v>3.105263158</v>
      </c>
      <c r="EF101" s="114" t="str">
        <f>IF(Q101="Debt", (1+((S101-MIN(interest_rates))*(4)/(MAX(interest_rates) - MIN(interest_rates)))), "")</f>
        <v/>
      </c>
      <c r="EG101" s="114" t="str">
        <f>IF(OR(Q101="Revenue Share", Q101="Profit Share"), (1+((R101-MIN(return_mutiples))*(4)/(MAX(return_mutiples) - MIN(return_mutiples)))), "")</f>
        <v/>
      </c>
      <c r="EH101" s="115">
        <f t="shared" si="18"/>
        <v>4</v>
      </c>
      <c r="EI101" s="116" t="str">
        <f t="shared" si="19"/>
        <v>SAFE</v>
      </c>
      <c r="EJ101" s="117">
        <f t="shared" si="20"/>
        <v>0.3561643836</v>
      </c>
      <c r="EK101" s="116" t="str">
        <f t="shared" si="21"/>
        <v>Early</v>
      </c>
      <c r="EL101" s="112"/>
      <c r="EM101" s="118">
        <f t="shared" si="22"/>
        <v>2.7</v>
      </c>
      <c r="EN101" s="118">
        <f t="shared" si="23"/>
        <v>2.3</v>
      </c>
      <c r="EO101" s="119">
        <f t="shared" si="24"/>
        <v>5</v>
      </c>
      <c r="EP101" s="115">
        <f>1+((EO101-MIN(market_ratings_sums))*(4)/(MAX(market_ratings_sums) - MIN(market_ratings_sums)))</f>
        <v>2.614035088</v>
      </c>
      <c r="EQ101" s="116" t="str">
        <f t="shared" si="25"/>
        <v>No</v>
      </c>
      <c r="ER101" s="112"/>
      <c r="ES101" s="123">
        <f>1+((DX101-MIN(industry_experiences))*(4)/(MAX(industry_experiences) - MIN(industry_experiences)))</f>
        <v>3.095238095</v>
      </c>
      <c r="ET101" s="123">
        <f>1+((DY101-MIN(previous_startups))*(4)/(MAX(previous_startups) - MIN(previous_startups)))</f>
        <v>2.777777778</v>
      </c>
      <c r="EU101" s="123">
        <f>1+((DZ101-MIN(exits))*(4)/(MAX(exits) - MIN(exits)))</f>
        <v>4</v>
      </c>
      <c r="EV101" s="119">
        <f t="shared" si="26"/>
        <v>9.873015873</v>
      </c>
      <c r="EW101" s="124">
        <f>1+((EV101-MIN(team_ratings_sums))*(4)/(MAX(team_ratings_sums) - MIN(team_ratings_sums)))</f>
        <v>4.765217391</v>
      </c>
      <c r="EX101" s="116" t="str">
        <f t="shared" si="27"/>
        <v>35 - 54</v>
      </c>
      <c r="EY101" s="125">
        <f t="shared" si="28"/>
        <v>0.6849315068</v>
      </c>
      <c r="EZ101" s="116">
        <f t="shared" si="29"/>
        <v>2</v>
      </c>
      <c r="FA101" s="125">
        <f t="shared" si="30"/>
        <v>0.4520547945</v>
      </c>
      <c r="FB101" s="116">
        <f t="shared" si="31"/>
        <v>7</v>
      </c>
      <c r="FC101" s="125">
        <f t="shared" si="32"/>
        <v>0.04109589041</v>
      </c>
      <c r="FD101" s="116" t="str">
        <f t="shared" si="33"/>
        <v>Yes</v>
      </c>
      <c r="FE101" s="125">
        <f t="shared" si="34"/>
        <v>0.2465753425</v>
      </c>
      <c r="FF101" s="116" t="str">
        <f t="shared" ref="FF101:FH101" si="262">BJ101</f>
        <v>No</v>
      </c>
      <c r="FG101" s="116" t="str">
        <f t="shared" si="262"/>
        <v>Yes</v>
      </c>
      <c r="FH101" s="116" t="str">
        <f t="shared" si="262"/>
        <v>No</v>
      </c>
      <c r="FI101" s="112"/>
      <c r="FJ101" s="116" t="str">
        <f t="shared" si="36"/>
        <v>Recurring</v>
      </c>
      <c r="FK101" s="125">
        <f t="shared" si="37"/>
        <v>0.397260274</v>
      </c>
      <c r="FL101" s="116" t="str">
        <f t="shared" si="38"/>
        <v>B2B2C</v>
      </c>
      <c r="FM101" s="125">
        <f t="shared" si="39"/>
        <v>0.02739726027</v>
      </c>
      <c r="FN101" s="116" t="str">
        <f t="shared" si="40"/>
        <v>High</v>
      </c>
      <c r="FO101" s="125">
        <f t="shared" si="41"/>
        <v>0.5616438356</v>
      </c>
      <c r="FP101" s="116" t="str">
        <f t="shared" si="42"/>
        <v>High</v>
      </c>
      <c r="FQ101" s="125">
        <f t="shared" si="43"/>
        <v>0.6438356164</v>
      </c>
      <c r="FR101" s="112"/>
      <c r="FS101" s="123">
        <f t="shared" si="44"/>
        <v>5</v>
      </c>
      <c r="FT101" s="123">
        <f t="shared" si="45"/>
        <v>1</v>
      </c>
      <c r="FU101" s="123">
        <f t="shared" si="46"/>
        <v>5</v>
      </c>
      <c r="FV101" s="123">
        <f t="shared" si="47"/>
        <v>2.8</v>
      </c>
      <c r="FW101" s="119">
        <f t="shared" si="48"/>
        <v>13.8</v>
      </c>
      <c r="FX101" s="115">
        <f>1+((FW101-MIN(performance_ratings_sums))*(4)/(MAX(performance_ratings_sums) - MIN(performance_ratings_sums)))</f>
        <v>3.654205607</v>
      </c>
      <c r="FY101" s="116" t="str">
        <f t="shared" si="49"/>
        <v>Pre-Profit</v>
      </c>
      <c r="FZ101" s="126">
        <f t="shared" si="50"/>
        <v>0.4931506849</v>
      </c>
      <c r="GA101" s="112"/>
      <c r="GB101" s="127">
        <f t="shared" si="51"/>
        <v>3</v>
      </c>
      <c r="GC101" s="116" t="str">
        <f t="shared" si="52"/>
        <v>No</v>
      </c>
      <c r="GD101" s="126">
        <f t="shared" si="53"/>
        <v>0.7671232877</v>
      </c>
      <c r="GE101" s="126" t="str">
        <f t="shared" si="54"/>
        <v>High</v>
      </c>
      <c r="GF101" s="126">
        <f t="shared" si="55"/>
        <v>0.4520547945</v>
      </c>
      <c r="GG101" s="126" t="str">
        <f t="shared" si="56"/>
        <v>High</v>
      </c>
      <c r="GH101" s="126">
        <f t="shared" si="57"/>
        <v>0.8082191781</v>
      </c>
      <c r="GI101" s="112"/>
      <c r="GJ101" s="116"/>
      <c r="GK101" s="119">
        <f t="shared" si="58"/>
        <v>18.03345809</v>
      </c>
      <c r="GL101" s="128">
        <f>1+((GK101-MIN(ratings_sums))*(4)/(MAX(ratings_sums) - MIN(ratings_sums)))</f>
        <v>4.325981893</v>
      </c>
    </row>
    <row r="102" ht="15.75" customHeight="1">
      <c r="A102" s="200" t="s">
        <v>681</v>
      </c>
      <c r="B102" s="191">
        <v>1761248.0</v>
      </c>
      <c r="C102" s="180" t="s">
        <v>980</v>
      </c>
      <c r="D102" s="196">
        <v>43480.638194444444</v>
      </c>
      <c r="E102" s="175" t="s">
        <v>381</v>
      </c>
      <c r="F102" s="192" t="s">
        <v>981</v>
      </c>
      <c r="G102" s="192" t="s">
        <v>982</v>
      </c>
      <c r="H102" s="193">
        <v>43892.0</v>
      </c>
      <c r="I102" s="197" t="s">
        <v>983</v>
      </c>
      <c r="J102" s="180" t="s">
        <v>980</v>
      </c>
      <c r="K102" s="175" t="s">
        <v>536</v>
      </c>
      <c r="L102" s="175" t="s">
        <v>390</v>
      </c>
      <c r="M102" s="175" t="s">
        <v>31</v>
      </c>
      <c r="N102" s="175" t="s">
        <v>82</v>
      </c>
      <c r="O102" s="175" t="s">
        <v>35</v>
      </c>
      <c r="P102" s="171"/>
      <c r="Q102" s="175" t="s">
        <v>84</v>
      </c>
      <c r="R102" s="181"/>
      <c r="S102" s="182"/>
      <c r="U102" s="16">
        <v>1.5E7</v>
      </c>
      <c r="V102" s="198">
        <v>0.2</v>
      </c>
      <c r="W102" s="96">
        <f t="shared" si="125"/>
        <v>12000000</v>
      </c>
      <c r="X102" s="99">
        <f t="shared" si="126"/>
        <v>12000000</v>
      </c>
      <c r="Y102" s="99" t="str">
        <f t="shared" si="127"/>
        <v>$10M - $12M</v>
      </c>
      <c r="Z102" s="175" t="s">
        <v>36</v>
      </c>
      <c r="AA102" s="175" t="s">
        <v>87</v>
      </c>
      <c r="AB102" s="175" t="s">
        <v>38</v>
      </c>
      <c r="AC102" s="175" t="s">
        <v>469</v>
      </c>
      <c r="AD102" s="175" t="s">
        <v>89</v>
      </c>
      <c r="AE102" s="175" t="s">
        <v>39</v>
      </c>
      <c r="AF102" s="170" t="s">
        <v>469</v>
      </c>
      <c r="AG102" s="16">
        <v>6.0E10</v>
      </c>
      <c r="AH102" s="97" t="str">
        <f t="shared" si="128"/>
        <v>$50B-$100B</v>
      </c>
      <c r="AI102" s="16">
        <v>2.0E8</v>
      </c>
      <c r="AJ102" s="97" t="str">
        <f t="shared" si="129"/>
        <v>$100M-$250M</v>
      </c>
      <c r="AK102" s="199">
        <v>0.04</v>
      </c>
      <c r="AL102" s="88" t="str">
        <f t="shared" si="130"/>
        <v>0%-10%</v>
      </c>
      <c r="AM102" s="191">
        <v>10.0</v>
      </c>
      <c r="AN102" s="175" t="s">
        <v>89</v>
      </c>
      <c r="AO102" s="175" t="s">
        <v>89</v>
      </c>
      <c r="AP102" s="175" t="s">
        <v>40</v>
      </c>
      <c r="AQ102" s="143" t="s">
        <v>89</v>
      </c>
      <c r="AR102" s="143" t="s">
        <v>39</v>
      </c>
      <c r="AS102" s="175" t="s">
        <v>469</v>
      </c>
      <c r="AT102" s="175" t="s">
        <v>469</v>
      </c>
      <c r="AU102" s="175" t="s">
        <v>469</v>
      </c>
      <c r="AV102" s="175" t="s">
        <v>469</v>
      </c>
      <c r="AW102" s="16">
        <v>0.0</v>
      </c>
      <c r="AX102" s="96" t="str">
        <f t="shared" si="131"/>
        <v>&lt; $10K</v>
      </c>
      <c r="AY102" s="16">
        <v>3832.0</v>
      </c>
      <c r="AZ102" s="16">
        <v>0.0</v>
      </c>
      <c r="BA102" s="103" t="str">
        <f t="shared" si="132"/>
        <v>&lt; $10K</v>
      </c>
      <c r="BB102" s="103">
        <f t="shared" si="133"/>
        <v>1</v>
      </c>
      <c r="BC102" s="103" t="str">
        <f t="shared" si="134"/>
        <v>90% - 100%</v>
      </c>
      <c r="BD102" s="175" t="s">
        <v>41</v>
      </c>
      <c r="BE102" s="171"/>
      <c r="BF102" s="175" t="s">
        <v>469</v>
      </c>
      <c r="BG102" s="191">
        <v>0.0</v>
      </c>
      <c r="BH102" s="191">
        <v>1.0</v>
      </c>
      <c r="BI102" s="175" t="s">
        <v>469</v>
      </c>
      <c r="BJ102" s="175" t="s">
        <v>469</v>
      </c>
      <c r="BK102" s="175" t="s">
        <v>469</v>
      </c>
      <c r="BL102" s="175" t="s">
        <v>469</v>
      </c>
      <c r="BM102" s="191">
        <v>1.0</v>
      </c>
      <c r="BN102" s="191">
        <v>1.0</v>
      </c>
      <c r="BO102" s="191">
        <v>0.0</v>
      </c>
      <c r="BP102" s="191">
        <v>0.0</v>
      </c>
      <c r="BQ102" s="108"/>
      <c r="BR102" s="15">
        <v>15.0</v>
      </c>
      <c r="BS102" s="15">
        <v>2.0</v>
      </c>
      <c r="BT102" s="15">
        <v>2.0</v>
      </c>
      <c r="BU102" s="15">
        <v>46.0</v>
      </c>
      <c r="BV102" s="15" t="s">
        <v>469</v>
      </c>
      <c r="BW102" s="108"/>
      <c r="CC102" s="108"/>
      <c r="CI102" s="108"/>
      <c r="CO102" s="108"/>
      <c r="CU102" s="108"/>
      <c r="DA102" s="108"/>
      <c r="DG102" s="108"/>
      <c r="DM102" s="108"/>
      <c r="DS102" s="108"/>
      <c r="DT102" s="108"/>
      <c r="DU102" s="108"/>
      <c r="DW102" s="109"/>
      <c r="DX102" s="110">
        <f t="shared" si="13"/>
        <v>15</v>
      </c>
      <c r="DY102" s="111">
        <f t="shared" ref="DY102:DZ102" si="263">sum(BS102,BY102,CE102,CK102,CQ102,CW102,DC102,DI102,DO102)</f>
        <v>2</v>
      </c>
      <c r="DZ102" s="111">
        <f t="shared" si="263"/>
        <v>2</v>
      </c>
      <c r="EA102" s="110">
        <f t="shared" si="15"/>
        <v>46</v>
      </c>
      <c r="EB102" s="99" t="str">
        <f t="shared" si="16"/>
        <v>35 - 54</v>
      </c>
      <c r="EC102" s="112"/>
      <c r="ED102" s="113">
        <f t="shared" si="17"/>
        <v>3.9</v>
      </c>
      <c r="EE102" s="114">
        <f>IF(V102 &lt;&gt; "", 1+((V102-MIN(discount_rates))*(4)/(MAX(discount_rates) - MIN(discount_rates))), "")</f>
        <v>3.105263158</v>
      </c>
      <c r="EF102" s="114" t="str">
        <f>IF(Q102="Debt", (1+((S102-MIN(interest_rates))*(4)/(MAX(interest_rates) - MIN(interest_rates)))), "")</f>
        <v/>
      </c>
      <c r="EG102" s="114" t="str">
        <f>IF(OR(Q102="Revenue Share", Q102="Profit Share"), (1+((R102-MIN(return_mutiples))*(4)/(MAX(return_mutiples) - MIN(return_mutiples)))), "")</f>
        <v/>
      </c>
      <c r="EH102" s="115">
        <f t="shared" si="18"/>
        <v>3.9</v>
      </c>
      <c r="EI102" s="116" t="str">
        <f t="shared" si="19"/>
        <v>Convertible Note</v>
      </c>
      <c r="EJ102" s="117">
        <f t="shared" si="20"/>
        <v>0.1232876712</v>
      </c>
      <c r="EK102" s="116" t="str">
        <f t="shared" si="21"/>
        <v>Early</v>
      </c>
      <c r="EL102" s="112"/>
      <c r="EM102" s="118">
        <f t="shared" si="22"/>
        <v>1.9</v>
      </c>
      <c r="EN102" s="118">
        <f t="shared" si="23"/>
        <v>1.7</v>
      </c>
      <c r="EO102" s="119">
        <f t="shared" si="24"/>
        <v>3.6</v>
      </c>
      <c r="EP102" s="115">
        <f>1+((EO102-MIN(market_ratings_sums))*(4)/(MAX(market_ratings_sums) - MIN(market_ratings_sums)))</f>
        <v>1.631578947</v>
      </c>
      <c r="EQ102" s="116" t="str">
        <f t="shared" si="25"/>
        <v>No</v>
      </c>
      <c r="ER102" s="112"/>
      <c r="ES102" s="123">
        <f>1+((DX102-MIN(industry_experiences))*(4)/(MAX(industry_experiences) - MIN(industry_experiences)))</f>
        <v>2.428571429</v>
      </c>
      <c r="ET102" s="123">
        <f>1+((DY102-MIN(previous_startups))*(4)/(MAX(previous_startups) - MIN(previous_startups)))</f>
        <v>1.888888889</v>
      </c>
      <c r="EU102" s="123">
        <f>1+((DZ102-MIN(exits))*(4)/(MAX(exits) - MIN(exits)))</f>
        <v>3</v>
      </c>
      <c r="EV102" s="119">
        <f t="shared" si="26"/>
        <v>7.317460317</v>
      </c>
      <c r="EW102" s="124">
        <f>1+((EV102-MIN(team_ratings_sums))*(4)/(MAX(team_ratings_sums) - MIN(team_ratings_sums)))</f>
        <v>3.365217391</v>
      </c>
      <c r="EX102" s="116" t="str">
        <f t="shared" si="27"/>
        <v>35 - 54</v>
      </c>
      <c r="EY102" s="125">
        <f t="shared" si="28"/>
        <v>0.6849315068</v>
      </c>
      <c r="EZ102" s="116">
        <f t="shared" si="29"/>
        <v>1</v>
      </c>
      <c r="FA102" s="125">
        <f t="shared" si="30"/>
        <v>0.4383561644</v>
      </c>
      <c r="FB102" s="116">
        <f t="shared" si="31"/>
        <v>1</v>
      </c>
      <c r="FC102" s="125">
        <f t="shared" si="32"/>
        <v>0.08219178082</v>
      </c>
      <c r="FD102" s="116" t="str">
        <f t="shared" si="33"/>
        <v>No</v>
      </c>
      <c r="FE102" s="125">
        <f t="shared" si="34"/>
        <v>0.7534246575</v>
      </c>
      <c r="FF102" s="116" t="str">
        <f t="shared" ref="FF102:FH102" si="264">BJ102</f>
        <v>No</v>
      </c>
      <c r="FG102" s="116" t="str">
        <f t="shared" si="264"/>
        <v>No</v>
      </c>
      <c r="FH102" s="116" t="str">
        <f t="shared" si="264"/>
        <v>No</v>
      </c>
      <c r="FI102" s="112"/>
      <c r="FJ102" s="116" t="str">
        <f t="shared" si="36"/>
        <v>Transactional</v>
      </c>
      <c r="FK102" s="125">
        <f t="shared" si="37"/>
        <v>0.602739726</v>
      </c>
      <c r="FL102" s="116" t="str">
        <f t="shared" si="38"/>
        <v>B2C</v>
      </c>
      <c r="FM102" s="125">
        <f t="shared" si="39"/>
        <v>0.397260274</v>
      </c>
      <c r="FN102" s="116" t="str">
        <f t="shared" si="40"/>
        <v>Low</v>
      </c>
      <c r="FO102" s="125">
        <f t="shared" si="41"/>
        <v>0.4383561644</v>
      </c>
      <c r="FP102" s="116" t="str">
        <f t="shared" si="42"/>
        <v>High</v>
      </c>
      <c r="FQ102" s="125">
        <f t="shared" si="43"/>
        <v>0.6438356164</v>
      </c>
      <c r="FR102" s="112"/>
      <c r="FS102" s="123">
        <f t="shared" si="44"/>
        <v>1</v>
      </c>
      <c r="FT102" s="123">
        <f t="shared" si="45"/>
        <v>1</v>
      </c>
      <c r="FU102" s="123">
        <f t="shared" si="46"/>
        <v>1</v>
      </c>
      <c r="FV102" s="123">
        <f t="shared" si="47"/>
        <v>5</v>
      </c>
      <c r="FW102" s="119">
        <f t="shared" si="48"/>
        <v>8</v>
      </c>
      <c r="FX102" s="115">
        <f>1+((FW102-MIN(performance_ratings_sums))*(4)/(MAX(performance_ratings_sums) - MIN(performance_ratings_sums)))</f>
        <v>1.485981308</v>
      </c>
      <c r="FY102" s="116" t="str">
        <f t="shared" si="49"/>
        <v>Pre-Product</v>
      </c>
      <c r="FZ102" s="126">
        <f t="shared" si="50"/>
        <v>0.2328767123</v>
      </c>
      <c r="GA102" s="112"/>
      <c r="GB102" s="127">
        <f t="shared" si="51"/>
        <v>1</v>
      </c>
      <c r="GC102" s="116" t="str">
        <f t="shared" si="52"/>
        <v>No</v>
      </c>
      <c r="GD102" s="126">
        <f t="shared" si="53"/>
        <v>0.7671232877</v>
      </c>
      <c r="GE102" s="126" t="str">
        <f t="shared" si="54"/>
        <v>Low</v>
      </c>
      <c r="GF102" s="126">
        <f t="shared" si="55"/>
        <v>0.5479452055</v>
      </c>
      <c r="GG102" s="126" t="str">
        <f t="shared" si="56"/>
        <v>High</v>
      </c>
      <c r="GH102" s="126">
        <f t="shared" si="57"/>
        <v>0.8082191781</v>
      </c>
      <c r="GI102" s="112"/>
      <c r="GJ102" s="116"/>
      <c r="GK102" s="119">
        <f t="shared" si="58"/>
        <v>11.38277765</v>
      </c>
      <c r="GL102" s="128">
        <f>1+((GK102-MIN(ratings_sums))*(4)/(MAX(ratings_sums) - MIN(ratings_sums)))</f>
        <v>2.285287324</v>
      </c>
    </row>
    <row r="103" ht="15.75" customHeight="1">
      <c r="A103" s="200" t="s">
        <v>681</v>
      </c>
      <c r="B103" s="191">
        <v>1758617.0</v>
      </c>
      <c r="C103" s="180" t="s">
        <v>984</v>
      </c>
      <c r="D103" s="196">
        <v>43488.32916666667</v>
      </c>
      <c r="E103" s="175" t="s">
        <v>381</v>
      </c>
      <c r="F103" s="192" t="s">
        <v>985</v>
      </c>
      <c r="G103" s="192" t="s">
        <v>986</v>
      </c>
      <c r="H103" s="193">
        <v>43819.0</v>
      </c>
      <c r="I103" s="197" t="s">
        <v>987</v>
      </c>
      <c r="J103" s="197" t="s">
        <v>984</v>
      </c>
      <c r="K103" s="175" t="s">
        <v>496</v>
      </c>
      <c r="L103" s="175" t="s">
        <v>390</v>
      </c>
      <c r="M103" s="175" t="s">
        <v>31</v>
      </c>
      <c r="N103" s="175" t="s">
        <v>32</v>
      </c>
      <c r="O103" s="175" t="s">
        <v>35</v>
      </c>
      <c r="P103" s="171"/>
      <c r="Q103" s="175" t="s">
        <v>121</v>
      </c>
      <c r="R103" s="181"/>
      <c r="S103" s="182"/>
      <c r="T103" s="21">
        <v>100000.0</v>
      </c>
      <c r="U103" s="16"/>
      <c r="V103" s="198"/>
      <c r="W103" s="96" t="str">
        <f t="shared" si="125"/>
        <v/>
      </c>
      <c r="X103" s="98">
        <f t="shared" si="126"/>
        <v>100000</v>
      </c>
      <c r="Y103" s="99" t="str">
        <f t="shared" si="127"/>
        <v>&lt; $1M</v>
      </c>
      <c r="Z103" s="175" t="s">
        <v>36</v>
      </c>
      <c r="AA103" s="175" t="s">
        <v>105</v>
      </c>
      <c r="AB103" s="175" t="s">
        <v>38</v>
      </c>
      <c r="AC103" s="175" t="s">
        <v>469</v>
      </c>
      <c r="AD103" s="175" t="s">
        <v>89</v>
      </c>
      <c r="AE103" s="175" t="s">
        <v>39</v>
      </c>
      <c r="AF103" s="170" t="s">
        <v>469</v>
      </c>
      <c r="AG103" s="16">
        <v>5.0E10</v>
      </c>
      <c r="AH103" s="97" t="str">
        <f t="shared" si="128"/>
        <v>$50B-$100B</v>
      </c>
      <c r="AI103" s="16">
        <v>1000000.0</v>
      </c>
      <c r="AJ103" s="97" t="str">
        <f t="shared" si="129"/>
        <v>&lt; $25M</v>
      </c>
      <c r="AK103" s="199">
        <v>0.02</v>
      </c>
      <c r="AL103" s="88" t="str">
        <f t="shared" si="130"/>
        <v>0%-10%</v>
      </c>
      <c r="AM103" s="191">
        <v>200.0</v>
      </c>
      <c r="AN103" s="175" t="s">
        <v>89</v>
      </c>
      <c r="AO103" s="175" t="s">
        <v>89</v>
      </c>
      <c r="AP103" s="175" t="s">
        <v>106</v>
      </c>
      <c r="AQ103" s="143" t="s">
        <v>89</v>
      </c>
      <c r="AR103" s="143" t="s">
        <v>39</v>
      </c>
      <c r="AS103" s="175" t="s">
        <v>469</v>
      </c>
      <c r="AT103" s="175" t="s">
        <v>469</v>
      </c>
      <c r="AU103" s="175" t="s">
        <v>469</v>
      </c>
      <c r="AV103" s="175" t="s">
        <v>469</v>
      </c>
      <c r="AW103" s="16">
        <v>0.0</v>
      </c>
      <c r="AX103" s="96" t="str">
        <f t="shared" si="131"/>
        <v>&lt; $10K</v>
      </c>
      <c r="AY103" s="16">
        <v>486.0</v>
      </c>
      <c r="AZ103" s="16">
        <v>0.0</v>
      </c>
      <c r="BA103" s="103" t="str">
        <f t="shared" si="132"/>
        <v>&lt; $10K</v>
      </c>
      <c r="BB103" s="103">
        <f t="shared" si="133"/>
        <v>1</v>
      </c>
      <c r="BC103" s="103" t="str">
        <f t="shared" si="134"/>
        <v>90% - 100%</v>
      </c>
      <c r="BD103" s="175" t="s">
        <v>41</v>
      </c>
      <c r="BE103" s="171"/>
      <c r="BF103" s="175" t="s">
        <v>469</v>
      </c>
      <c r="BG103" s="191">
        <v>0.0</v>
      </c>
      <c r="BH103" s="191">
        <v>1.0</v>
      </c>
      <c r="BI103" s="175" t="s">
        <v>469</v>
      </c>
      <c r="BJ103" s="175" t="s">
        <v>469</v>
      </c>
      <c r="BK103" s="175" t="s">
        <v>469</v>
      </c>
      <c r="BL103" s="175" t="s">
        <v>469</v>
      </c>
      <c r="BM103" s="191">
        <v>1.0</v>
      </c>
      <c r="BN103" s="191">
        <v>3.0</v>
      </c>
      <c r="BO103" s="191">
        <v>0.0</v>
      </c>
      <c r="BP103" s="191">
        <v>0.0</v>
      </c>
      <c r="BQ103" s="108"/>
      <c r="BR103" s="15">
        <v>5.0</v>
      </c>
      <c r="BS103" s="15">
        <v>0.0</v>
      </c>
      <c r="BT103" s="15">
        <v>0.0</v>
      </c>
      <c r="BU103" s="15">
        <v>38.0</v>
      </c>
      <c r="BV103" s="15" t="s">
        <v>469</v>
      </c>
      <c r="BW103" s="108"/>
      <c r="CC103" s="108"/>
      <c r="CI103" s="108"/>
      <c r="CO103" s="108"/>
      <c r="CU103" s="108"/>
      <c r="DA103" s="108"/>
      <c r="DG103" s="108"/>
      <c r="DM103" s="108"/>
      <c r="DS103" s="108"/>
      <c r="DT103" s="108"/>
      <c r="DU103" s="108"/>
      <c r="DW103" s="109"/>
      <c r="DX103" s="110">
        <f t="shared" si="13"/>
        <v>5</v>
      </c>
      <c r="DY103" s="111">
        <f t="shared" ref="DY103:DZ103" si="265">sum(BS103,BY103,CE103,CK103,CQ103,CW103,DC103,DI103,DO103)</f>
        <v>0</v>
      </c>
      <c r="DZ103" s="111">
        <f t="shared" si="265"/>
        <v>0</v>
      </c>
      <c r="EA103" s="110">
        <f t="shared" si="15"/>
        <v>38</v>
      </c>
      <c r="EB103" s="99" t="str">
        <f t="shared" si="16"/>
        <v>35 - 54</v>
      </c>
      <c r="EC103" s="112"/>
      <c r="ED103" s="113">
        <f t="shared" si="17"/>
        <v>5</v>
      </c>
      <c r="EE103" s="114" t="str">
        <f>IF(V103 &lt;&gt; "", 1+((V103-MIN(discount_rates))*(4)/(MAX(discount_rates) - MIN(discount_rates))), "")</f>
        <v/>
      </c>
      <c r="EF103" s="114" t="str">
        <f>IF(Q103="Debt", (1+((S103-MIN(interest_rates))*(4)/(MAX(interest_rates) - MIN(interest_rates)))), "")</f>
        <v/>
      </c>
      <c r="EG103" s="114" t="str">
        <f>IF(OR(Q103="Revenue Share", Q103="Profit Share"), (1+((R103-MIN(return_mutiples))*(4)/(MAX(return_mutiples) - MIN(return_mutiples)))), "")</f>
        <v/>
      </c>
      <c r="EH103" s="115">
        <f t="shared" si="18"/>
        <v>5</v>
      </c>
      <c r="EI103" s="116" t="str">
        <f t="shared" si="19"/>
        <v>Equity - Common</v>
      </c>
      <c r="EJ103" s="117">
        <f t="shared" si="20"/>
        <v>0.3287671233</v>
      </c>
      <c r="EK103" s="116" t="str">
        <f t="shared" si="21"/>
        <v>Early</v>
      </c>
      <c r="EL103" s="112"/>
      <c r="EM103" s="118">
        <f t="shared" si="22"/>
        <v>1</v>
      </c>
      <c r="EN103" s="118">
        <f t="shared" si="23"/>
        <v>1.7</v>
      </c>
      <c r="EO103" s="119">
        <f t="shared" si="24"/>
        <v>2.7</v>
      </c>
      <c r="EP103" s="115">
        <f>1+((EO103-MIN(market_ratings_sums))*(4)/(MAX(market_ratings_sums) - MIN(market_ratings_sums)))</f>
        <v>1</v>
      </c>
      <c r="EQ103" s="116" t="str">
        <f t="shared" si="25"/>
        <v>No</v>
      </c>
      <c r="ER103" s="112"/>
      <c r="ES103" s="123">
        <f>1+((DX103-MIN(industry_experiences))*(4)/(MAX(industry_experiences) - MIN(industry_experiences)))</f>
        <v>1.476190476</v>
      </c>
      <c r="ET103" s="123">
        <f>1+((DY103-MIN(previous_startups))*(4)/(MAX(previous_startups) - MIN(previous_startups)))</f>
        <v>1</v>
      </c>
      <c r="EU103" s="123">
        <f>1+((DZ103-MIN(exits))*(4)/(MAX(exits) - MIN(exits)))</f>
        <v>1</v>
      </c>
      <c r="EV103" s="119">
        <f t="shared" si="26"/>
        <v>3.476190476</v>
      </c>
      <c r="EW103" s="124">
        <f>1+((EV103-MIN(team_ratings_sums))*(4)/(MAX(team_ratings_sums) - MIN(team_ratings_sums)))</f>
        <v>1.260869565</v>
      </c>
      <c r="EX103" s="116" t="str">
        <f t="shared" si="27"/>
        <v>35 - 54</v>
      </c>
      <c r="EY103" s="125">
        <f t="shared" si="28"/>
        <v>0.6849315068</v>
      </c>
      <c r="EZ103" s="116">
        <f t="shared" si="29"/>
        <v>1</v>
      </c>
      <c r="FA103" s="125">
        <f t="shared" si="30"/>
        <v>0.4383561644</v>
      </c>
      <c r="FB103" s="116">
        <f t="shared" si="31"/>
        <v>3</v>
      </c>
      <c r="FC103" s="125">
        <f t="shared" si="32"/>
        <v>0.08219178082</v>
      </c>
      <c r="FD103" s="116" t="str">
        <f t="shared" si="33"/>
        <v>No</v>
      </c>
      <c r="FE103" s="125">
        <f t="shared" si="34"/>
        <v>0.7534246575</v>
      </c>
      <c r="FF103" s="116" t="str">
        <f t="shared" ref="FF103:FH103" si="266">BJ103</f>
        <v>No</v>
      </c>
      <c r="FG103" s="116" t="str">
        <f t="shared" si="266"/>
        <v>No</v>
      </c>
      <c r="FH103" s="116" t="str">
        <f t="shared" si="266"/>
        <v>No</v>
      </c>
      <c r="FI103" s="112"/>
      <c r="FJ103" s="116" t="str">
        <f t="shared" si="36"/>
        <v>Transactional</v>
      </c>
      <c r="FK103" s="125">
        <f t="shared" si="37"/>
        <v>0.602739726</v>
      </c>
      <c r="FL103" s="116" t="str">
        <f t="shared" si="38"/>
        <v>B2B2C</v>
      </c>
      <c r="FM103" s="125">
        <f t="shared" si="39"/>
        <v>0.02739726027</v>
      </c>
      <c r="FN103" s="116" t="str">
        <f t="shared" si="40"/>
        <v>Low</v>
      </c>
      <c r="FO103" s="125">
        <f t="shared" si="41"/>
        <v>0.4383561644</v>
      </c>
      <c r="FP103" s="116" t="str">
        <f t="shared" si="42"/>
        <v>High</v>
      </c>
      <c r="FQ103" s="125">
        <f t="shared" si="43"/>
        <v>0.6438356164</v>
      </c>
      <c r="FR103" s="112"/>
      <c r="FS103" s="123">
        <f t="shared" si="44"/>
        <v>1</v>
      </c>
      <c r="FT103" s="123">
        <f t="shared" si="45"/>
        <v>1</v>
      </c>
      <c r="FU103" s="123">
        <f t="shared" si="46"/>
        <v>1</v>
      </c>
      <c r="FV103" s="123">
        <f t="shared" si="47"/>
        <v>5</v>
      </c>
      <c r="FW103" s="119">
        <f t="shared" si="48"/>
        <v>8</v>
      </c>
      <c r="FX103" s="115">
        <f>1+((FW103-MIN(performance_ratings_sums))*(4)/(MAX(performance_ratings_sums) - MIN(performance_ratings_sums)))</f>
        <v>1.485981308</v>
      </c>
      <c r="FY103" s="116" t="str">
        <f t="shared" si="49"/>
        <v>Pre-Product</v>
      </c>
      <c r="FZ103" s="126">
        <f t="shared" si="50"/>
        <v>0.2328767123</v>
      </c>
      <c r="GA103" s="112"/>
      <c r="GB103" s="127">
        <f t="shared" si="51"/>
        <v>1</v>
      </c>
      <c r="GC103" s="116" t="str">
        <f t="shared" si="52"/>
        <v>No</v>
      </c>
      <c r="GD103" s="126">
        <f t="shared" si="53"/>
        <v>0.7671232877</v>
      </c>
      <c r="GE103" s="126" t="str">
        <f t="shared" si="54"/>
        <v>Low</v>
      </c>
      <c r="GF103" s="126">
        <f t="shared" si="55"/>
        <v>0.5479452055</v>
      </c>
      <c r="GG103" s="126" t="str">
        <f t="shared" si="56"/>
        <v>High</v>
      </c>
      <c r="GH103" s="126">
        <f t="shared" si="57"/>
        <v>0.8082191781</v>
      </c>
      <c r="GI103" s="112"/>
      <c r="GJ103" s="116"/>
      <c r="GK103" s="119">
        <f t="shared" si="58"/>
        <v>9.746850874</v>
      </c>
      <c r="GL103" s="128">
        <f>1+((GK103-MIN(ratings_sums))*(4)/(MAX(ratings_sums) - MIN(ratings_sums)))</f>
        <v>1.783319606</v>
      </c>
    </row>
    <row r="104" ht="15.75" customHeight="1">
      <c r="A104" s="200" t="s">
        <v>681</v>
      </c>
      <c r="B104" s="191">
        <v>1762827.0</v>
      </c>
      <c r="C104" s="180" t="s">
        <v>988</v>
      </c>
      <c r="D104" s="204">
        <v>43489.59652777778</v>
      </c>
      <c r="E104" s="175" t="s">
        <v>381</v>
      </c>
      <c r="F104" s="192" t="s">
        <v>989</v>
      </c>
      <c r="G104" s="192" t="s">
        <v>990</v>
      </c>
      <c r="H104" s="193">
        <v>43875.0</v>
      </c>
      <c r="I104" s="197" t="s">
        <v>991</v>
      </c>
      <c r="J104" s="180" t="s">
        <v>992</v>
      </c>
      <c r="K104" s="175" t="s">
        <v>415</v>
      </c>
      <c r="L104" s="175" t="s">
        <v>167</v>
      </c>
      <c r="M104" s="175" t="s">
        <v>31</v>
      </c>
      <c r="N104" s="175" t="s">
        <v>32</v>
      </c>
      <c r="O104" s="175" t="s">
        <v>35</v>
      </c>
      <c r="P104" s="175"/>
      <c r="Q104" s="175" t="s">
        <v>121</v>
      </c>
      <c r="R104" s="181"/>
      <c r="S104" s="182"/>
      <c r="T104" s="69">
        <v>5984000.0</v>
      </c>
      <c r="U104" s="16"/>
      <c r="V104" s="198"/>
      <c r="W104" s="96" t="str">
        <f t="shared" si="125"/>
        <v/>
      </c>
      <c r="X104" s="98">
        <f t="shared" si="126"/>
        <v>5984000</v>
      </c>
      <c r="Y104" s="99" t="str">
        <f t="shared" si="127"/>
        <v>$4M - $6M</v>
      </c>
      <c r="Z104" s="175" t="s">
        <v>86</v>
      </c>
      <c r="AA104" s="175" t="s">
        <v>37</v>
      </c>
      <c r="AB104" s="175" t="s">
        <v>88</v>
      </c>
      <c r="AC104" s="175" t="s">
        <v>493</v>
      </c>
      <c r="AD104" s="175" t="s">
        <v>39</v>
      </c>
      <c r="AE104" s="175" t="s">
        <v>89</v>
      </c>
      <c r="AF104" s="170" t="s">
        <v>493</v>
      </c>
      <c r="AG104" s="16">
        <v>7.5E10</v>
      </c>
      <c r="AH104" s="97" t="str">
        <f t="shared" si="128"/>
        <v>$50B-$100B</v>
      </c>
      <c r="AI104" s="16">
        <v>1.0E9</v>
      </c>
      <c r="AJ104" s="97" t="str">
        <f t="shared" si="129"/>
        <v>$1B-$5B</v>
      </c>
      <c r="AK104" s="199">
        <v>0.25</v>
      </c>
      <c r="AL104" s="88" t="str">
        <f t="shared" si="130"/>
        <v>20%-30%</v>
      </c>
      <c r="AM104" s="191">
        <v>5.0</v>
      </c>
      <c r="AN104" s="175" t="s">
        <v>39</v>
      </c>
      <c r="AO104" s="175" t="s">
        <v>89</v>
      </c>
      <c r="AP104" s="175" t="s">
        <v>40</v>
      </c>
      <c r="AQ104" s="143" t="s">
        <v>89</v>
      </c>
      <c r="AR104" s="143" t="s">
        <v>89</v>
      </c>
      <c r="AS104" s="175" t="s">
        <v>469</v>
      </c>
      <c r="AT104" s="175" t="s">
        <v>469</v>
      </c>
      <c r="AU104" s="175" t="s">
        <v>469</v>
      </c>
      <c r="AV104" s="175" t="s">
        <v>469</v>
      </c>
      <c r="AW104" s="16">
        <v>0.0</v>
      </c>
      <c r="AX104" s="96" t="str">
        <f t="shared" si="131"/>
        <v>&lt; $10K</v>
      </c>
      <c r="AY104" s="16">
        <v>3168.0</v>
      </c>
      <c r="AZ104" s="16">
        <v>0.0</v>
      </c>
      <c r="BA104" s="103" t="str">
        <f t="shared" si="132"/>
        <v>&lt; $10K</v>
      </c>
      <c r="BB104" s="103">
        <f t="shared" si="133"/>
        <v>1</v>
      </c>
      <c r="BC104" s="103" t="str">
        <f t="shared" si="134"/>
        <v>90% - 100%</v>
      </c>
      <c r="BD104" s="175" t="s">
        <v>41</v>
      </c>
      <c r="BE104" s="171"/>
      <c r="BF104" s="175" t="s">
        <v>493</v>
      </c>
      <c r="BG104" s="170">
        <v>1.0</v>
      </c>
      <c r="BH104" s="191">
        <v>2.0</v>
      </c>
      <c r="BI104" s="170" t="s">
        <v>469</v>
      </c>
      <c r="BJ104" s="175" t="s">
        <v>469</v>
      </c>
      <c r="BK104" s="175" t="s">
        <v>469</v>
      </c>
      <c r="BL104" s="175" t="s">
        <v>469</v>
      </c>
      <c r="BM104" s="191">
        <v>1.0</v>
      </c>
      <c r="BN104" s="191">
        <v>1.0</v>
      </c>
      <c r="BO104" s="191">
        <v>0.0</v>
      </c>
      <c r="BP104" s="191">
        <v>0.0</v>
      </c>
      <c r="BQ104" s="108"/>
      <c r="BR104" s="15">
        <v>20.0</v>
      </c>
      <c r="BS104" s="15">
        <v>0.0</v>
      </c>
      <c r="BT104" s="15">
        <v>0.0</v>
      </c>
      <c r="BU104" s="15">
        <v>45.0</v>
      </c>
      <c r="BV104" s="15" t="s">
        <v>469</v>
      </c>
      <c r="BW104" s="108"/>
      <c r="BX104" s="15">
        <v>15.0</v>
      </c>
      <c r="BY104" s="15">
        <v>0.0</v>
      </c>
      <c r="BZ104" s="15">
        <v>0.0</v>
      </c>
      <c r="CA104" s="15">
        <v>45.0</v>
      </c>
      <c r="CB104" s="15" t="s">
        <v>469</v>
      </c>
      <c r="CC104" s="108"/>
      <c r="CI104" s="108"/>
      <c r="CO104" s="108"/>
      <c r="CU104" s="108"/>
      <c r="DA104" s="108"/>
      <c r="DG104" s="108"/>
      <c r="DM104" s="108"/>
      <c r="DS104" s="108"/>
      <c r="DT104" s="108"/>
      <c r="DU104" s="108"/>
      <c r="DW104" s="109"/>
      <c r="DX104" s="110">
        <f t="shared" si="13"/>
        <v>17.5</v>
      </c>
      <c r="DY104" s="111">
        <f t="shared" ref="DY104:DZ104" si="267">sum(BS104,BY104,CE104,CK104,CQ104,CW104,DC104,DI104,DO104)</f>
        <v>0</v>
      </c>
      <c r="DZ104" s="111">
        <f t="shared" si="267"/>
        <v>0</v>
      </c>
      <c r="EA104" s="110">
        <f t="shared" si="15"/>
        <v>45</v>
      </c>
      <c r="EB104" s="99" t="str">
        <f t="shared" si="16"/>
        <v>35 - 54</v>
      </c>
      <c r="EC104" s="112"/>
      <c r="ED104" s="113">
        <f t="shared" si="17"/>
        <v>4.4</v>
      </c>
      <c r="EE104" s="114" t="str">
        <f>IF(V104 &lt;&gt; "", 1+((V104-MIN(discount_rates))*(4)/(MAX(discount_rates) - MIN(discount_rates))), "")</f>
        <v/>
      </c>
      <c r="EF104" s="114" t="str">
        <f>IF(Q104="Debt", (1+((S104-MIN(interest_rates))*(4)/(MAX(interest_rates) - MIN(interest_rates)))), "")</f>
        <v/>
      </c>
      <c r="EG104" s="114" t="str">
        <f>IF(OR(Q104="Revenue Share", Q104="Profit Share"), (1+((R104-MIN(return_mutiples))*(4)/(MAX(return_mutiples) - MIN(return_mutiples)))), "")</f>
        <v/>
      </c>
      <c r="EH104" s="115">
        <f t="shared" si="18"/>
        <v>4.4</v>
      </c>
      <c r="EI104" s="116" t="str">
        <f t="shared" si="19"/>
        <v>Equity - Common</v>
      </c>
      <c r="EJ104" s="117">
        <f t="shared" si="20"/>
        <v>0.3287671233</v>
      </c>
      <c r="EK104" s="116" t="str">
        <f t="shared" si="21"/>
        <v>Early</v>
      </c>
      <c r="EL104" s="112"/>
      <c r="EM104" s="118">
        <f t="shared" si="22"/>
        <v>2.7</v>
      </c>
      <c r="EN104" s="118">
        <f t="shared" si="23"/>
        <v>3</v>
      </c>
      <c r="EO104" s="119">
        <f t="shared" si="24"/>
        <v>5.7</v>
      </c>
      <c r="EP104" s="115">
        <f>1+((EO104-MIN(market_ratings_sums))*(4)/(MAX(market_ratings_sums) - MIN(market_ratings_sums)))</f>
        <v>3.105263158</v>
      </c>
      <c r="EQ104" s="116" t="str">
        <f t="shared" si="25"/>
        <v>No</v>
      </c>
      <c r="ER104" s="112"/>
      <c r="ES104" s="123">
        <f>1+((DX104-MIN(industry_experiences))*(4)/(MAX(industry_experiences) - MIN(industry_experiences)))</f>
        <v>2.666666667</v>
      </c>
      <c r="ET104" s="123">
        <f>1+((DY104-MIN(previous_startups))*(4)/(MAX(previous_startups) - MIN(previous_startups)))</f>
        <v>1</v>
      </c>
      <c r="EU104" s="123">
        <f>1+((DZ104-MIN(exits))*(4)/(MAX(exits) - MIN(exits)))</f>
        <v>1</v>
      </c>
      <c r="EV104" s="119">
        <f t="shared" si="26"/>
        <v>4.666666667</v>
      </c>
      <c r="EW104" s="124">
        <f>1+((EV104-MIN(team_ratings_sums))*(4)/(MAX(team_ratings_sums) - MIN(team_ratings_sums)))</f>
        <v>1.913043478</v>
      </c>
      <c r="EX104" s="116" t="str">
        <f t="shared" si="27"/>
        <v>35 - 54</v>
      </c>
      <c r="EY104" s="125">
        <f t="shared" si="28"/>
        <v>0.6849315068</v>
      </c>
      <c r="EZ104" s="116">
        <f t="shared" si="29"/>
        <v>2</v>
      </c>
      <c r="FA104" s="125">
        <f t="shared" si="30"/>
        <v>0.4520547945</v>
      </c>
      <c r="FB104" s="116">
        <f t="shared" si="31"/>
        <v>1</v>
      </c>
      <c r="FC104" s="125">
        <f t="shared" si="32"/>
        <v>0.08219178082</v>
      </c>
      <c r="FD104" s="116" t="str">
        <f t="shared" si="33"/>
        <v>No</v>
      </c>
      <c r="FE104" s="125">
        <f t="shared" si="34"/>
        <v>0.7534246575</v>
      </c>
      <c r="FF104" s="116" t="str">
        <f t="shared" ref="FF104:FH104" si="268">BJ104</f>
        <v>No</v>
      </c>
      <c r="FG104" s="116" t="str">
        <f t="shared" si="268"/>
        <v>No</v>
      </c>
      <c r="FH104" s="116" t="str">
        <f t="shared" si="268"/>
        <v>No</v>
      </c>
      <c r="FI104" s="112"/>
      <c r="FJ104" s="116" t="str">
        <f t="shared" si="36"/>
        <v>Recurring</v>
      </c>
      <c r="FK104" s="125">
        <f t="shared" si="37"/>
        <v>0.397260274</v>
      </c>
      <c r="FL104" s="116" t="str">
        <f t="shared" si="38"/>
        <v>B2B</v>
      </c>
      <c r="FM104" s="125">
        <f t="shared" si="39"/>
        <v>0.2465753425</v>
      </c>
      <c r="FN104" s="116" t="str">
        <f t="shared" si="40"/>
        <v>High</v>
      </c>
      <c r="FO104" s="125">
        <f t="shared" si="41"/>
        <v>0.5616438356</v>
      </c>
      <c r="FP104" s="116" t="str">
        <f t="shared" si="42"/>
        <v>Low</v>
      </c>
      <c r="FQ104" s="125">
        <f t="shared" si="43"/>
        <v>0.3561643836</v>
      </c>
      <c r="FR104" s="112"/>
      <c r="FS104" s="123">
        <f t="shared" si="44"/>
        <v>1</v>
      </c>
      <c r="FT104" s="123">
        <f t="shared" si="45"/>
        <v>1</v>
      </c>
      <c r="FU104" s="123">
        <f t="shared" si="46"/>
        <v>1</v>
      </c>
      <c r="FV104" s="123">
        <f t="shared" si="47"/>
        <v>5</v>
      </c>
      <c r="FW104" s="119">
        <f t="shared" si="48"/>
        <v>8</v>
      </c>
      <c r="FX104" s="115">
        <f>1+((FW104-MIN(performance_ratings_sums))*(4)/(MAX(performance_ratings_sums) - MIN(performance_ratings_sums)))</f>
        <v>1.485981308</v>
      </c>
      <c r="FY104" s="116" t="str">
        <f t="shared" si="49"/>
        <v>Pre-Product</v>
      </c>
      <c r="FZ104" s="126">
        <f t="shared" si="50"/>
        <v>0.2328767123</v>
      </c>
      <c r="GA104" s="112"/>
      <c r="GB104" s="127">
        <f t="shared" si="51"/>
        <v>3</v>
      </c>
      <c r="GC104" s="116" t="str">
        <f t="shared" si="52"/>
        <v>No</v>
      </c>
      <c r="GD104" s="126">
        <f t="shared" si="53"/>
        <v>0.7671232877</v>
      </c>
      <c r="GE104" s="126" t="str">
        <f t="shared" si="54"/>
        <v>Low</v>
      </c>
      <c r="GF104" s="126">
        <f t="shared" si="55"/>
        <v>0.5479452055</v>
      </c>
      <c r="GG104" s="126" t="str">
        <f t="shared" si="56"/>
        <v>Low</v>
      </c>
      <c r="GH104" s="126">
        <f t="shared" si="57"/>
        <v>0.1917808219</v>
      </c>
      <c r="GI104" s="112"/>
      <c r="GJ104" s="116"/>
      <c r="GK104" s="119">
        <f t="shared" si="58"/>
        <v>13.90428794</v>
      </c>
      <c r="GL104" s="128">
        <f>1+((GK104-MIN(ratings_sums))*(4)/(MAX(ratings_sums) - MIN(ratings_sums)))</f>
        <v>3.058987461</v>
      </c>
    </row>
    <row r="105" ht="15.75" customHeight="1">
      <c r="A105" s="200" t="s">
        <v>681</v>
      </c>
      <c r="B105" s="191">
        <v>1765252.0</v>
      </c>
      <c r="C105" s="180" t="s">
        <v>993</v>
      </c>
      <c r="D105" s="196">
        <v>43500.45486111111</v>
      </c>
      <c r="E105" s="175" t="s">
        <v>198</v>
      </c>
      <c r="F105" s="192" t="s">
        <v>994</v>
      </c>
      <c r="G105" s="192" t="s">
        <v>995</v>
      </c>
      <c r="H105" s="193">
        <v>43860.0</v>
      </c>
      <c r="I105" s="197" t="s">
        <v>996</v>
      </c>
      <c r="J105" s="180" t="s">
        <v>993</v>
      </c>
      <c r="K105" s="175" t="s">
        <v>354</v>
      </c>
      <c r="L105" s="175" t="s">
        <v>133</v>
      </c>
      <c r="M105" s="175" t="s">
        <v>31</v>
      </c>
      <c r="N105" s="175" t="s">
        <v>32</v>
      </c>
      <c r="O105" s="175" t="s">
        <v>35</v>
      </c>
      <c r="P105" s="171"/>
      <c r="Q105" s="175" t="s">
        <v>84</v>
      </c>
      <c r="R105" s="181"/>
      <c r="S105" s="182"/>
      <c r="T105" s="183"/>
      <c r="U105" s="16">
        <v>5000000.0</v>
      </c>
      <c r="V105" s="198">
        <v>0.2</v>
      </c>
      <c r="W105" s="96">
        <f t="shared" si="125"/>
        <v>4000000</v>
      </c>
      <c r="X105" s="98">
        <f t="shared" si="126"/>
        <v>4000000</v>
      </c>
      <c r="Y105" s="99" t="str">
        <f t="shared" si="127"/>
        <v>$2M - $4M</v>
      </c>
      <c r="Z105" s="175" t="s">
        <v>86</v>
      </c>
      <c r="AA105" s="175" t="s">
        <v>37</v>
      </c>
      <c r="AB105" s="175" t="s">
        <v>88</v>
      </c>
      <c r="AC105" s="175" t="s">
        <v>493</v>
      </c>
      <c r="AD105" s="175" t="s">
        <v>39</v>
      </c>
      <c r="AE105" s="175" t="s">
        <v>89</v>
      </c>
      <c r="AF105" s="170" t="s">
        <v>469</v>
      </c>
      <c r="AG105" s="16">
        <v>3.0E10</v>
      </c>
      <c r="AH105" s="97" t="str">
        <f t="shared" si="128"/>
        <v>$25B-$50B</v>
      </c>
      <c r="AI105" s="16">
        <v>1.0E8</v>
      </c>
      <c r="AJ105" s="97" t="str">
        <f t="shared" si="129"/>
        <v>$100M-$250M</v>
      </c>
      <c r="AK105" s="199">
        <v>0.17</v>
      </c>
      <c r="AL105" s="88" t="str">
        <f t="shared" si="130"/>
        <v>10%-20%</v>
      </c>
      <c r="AM105" s="191">
        <v>30.0</v>
      </c>
      <c r="AN105" s="175" t="s">
        <v>39</v>
      </c>
      <c r="AO105" s="175" t="s">
        <v>89</v>
      </c>
      <c r="AP105" s="175" t="s">
        <v>90</v>
      </c>
      <c r="AQ105" s="143" t="s">
        <v>39</v>
      </c>
      <c r="AR105" s="143" t="s">
        <v>39</v>
      </c>
      <c r="AS105" s="175" t="s">
        <v>469</v>
      </c>
      <c r="AT105" s="175" t="s">
        <v>469</v>
      </c>
      <c r="AU105" s="175" t="s">
        <v>469</v>
      </c>
      <c r="AV105" s="175" t="s">
        <v>469</v>
      </c>
      <c r="AW105" s="16">
        <v>0.0</v>
      </c>
      <c r="AX105" s="96" t="str">
        <f t="shared" si="131"/>
        <v>&lt; $10K</v>
      </c>
      <c r="AY105" s="16">
        <v>213.0</v>
      </c>
      <c r="AZ105" s="16">
        <v>0.0</v>
      </c>
      <c r="BA105" s="103" t="str">
        <f t="shared" si="132"/>
        <v>&lt; $10K</v>
      </c>
      <c r="BB105" s="103">
        <f t="shared" si="133"/>
        <v>1</v>
      </c>
      <c r="BC105" s="103" t="str">
        <f t="shared" si="134"/>
        <v>90% - 100%</v>
      </c>
      <c r="BD105" s="175" t="s">
        <v>41</v>
      </c>
      <c r="BE105" s="171"/>
      <c r="BF105" s="175" t="s">
        <v>493</v>
      </c>
      <c r="BG105" s="175">
        <v>1.0</v>
      </c>
      <c r="BH105" s="191">
        <v>1.0</v>
      </c>
      <c r="BI105" s="170" t="s">
        <v>469</v>
      </c>
      <c r="BJ105" s="175" t="s">
        <v>469</v>
      </c>
      <c r="BK105" s="175" t="s">
        <v>469</v>
      </c>
      <c r="BL105" s="175" t="s">
        <v>469</v>
      </c>
      <c r="BM105" s="191">
        <v>1.0</v>
      </c>
      <c r="BN105" s="191">
        <v>1.0</v>
      </c>
      <c r="BO105" s="191">
        <v>0.0</v>
      </c>
      <c r="BP105" s="191">
        <v>0.0</v>
      </c>
      <c r="BQ105" s="108"/>
      <c r="BR105" s="15">
        <v>0.0</v>
      </c>
      <c r="BS105" s="15">
        <v>0.0</v>
      </c>
      <c r="BT105" s="15">
        <v>0.0</v>
      </c>
      <c r="BU105" s="15">
        <v>26.0</v>
      </c>
      <c r="BV105" s="15" t="s">
        <v>469</v>
      </c>
      <c r="BW105" s="108"/>
      <c r="CC105" s="108"/>
      <c r="CI105" s="108"/>
      <c r="CO105" s="108"/>
      <c r="CU105" s="108"/>
      <c r="DA105" s="108"/>
      <c r="DG105" s="108"/>
      <c r="DM105" s="108"/>
      <c r="DS105" s="108"/>
      <c r="DT105" s="108"/>
      <c r="DU105" s="108"/>
      <c r="DW105" s="109"/>
      <c r="DX105" s="110">
        <f t="shared" si="13"/>
        <v>0</v>
      </c>
      <c r="DY105" s="111">
        <f t="shared" ref="DY105:DZ105" si="269">sum(BS105,BY105,CE105,CK105,CQ105,CW105,DC105,DI105,DO105)</f>
        <v>0</v>
      </c>
      <c r="DZ105" s="111">
        <f t="shared" si="269"/>
        <v>0</v>
      </c>
      <c r="EA105" s="110">
        <f t="shared" si="15"/>
        <v>26</v>
      </c>
      <c r="EB105" s="99" t="str">
        <f t="shared" si="16"/>
        <v>20 - 34</v>
      </c>
      <c r="EC105" s="112"/>
      <c r="ED105" s="113">
        <f t="shared" si="17"/>
        <v>4.6</v>
      </c>
      <c r="EE105" s="114">
        <f>IF(V105 &lt;&gt; "", 1+((V105-MIN(discount_rates))*(4)/(MAX(discount_rates) - MIN(discount_rates))), "")</f>
        <v>3.105263158</v>
      </c>
      <c r="EF105" s="114" t="str">
        <f>IF(Q105="Debt", (1+((S105-MIN(interest_rates))*(4)/(MAX(interest_rates) - MIN(interest_rates)))), "")</f>
        <v/>
      </c>
      <c r="EG105" s="114" t="str">
        <f>IF(OR(Q105="Revenue Share", Q105="Profit Share"), (1+((R105-MIN(return_mutiples))*(4)/(MAX(return_mutiples) - MIN(return_mutiples)))), "")</f>
        <v/>
      </c>
      <c r="EH105" s="115">
        <f t="shared" si="18"/>
        <v>4.6</v>
      </c>
      <c r="EI105" s="116" t="str">
        <f t="shared" si="19"/>
        <v>Convertible Note</v>
      </c>
      <c r="EJ105" s="117">
        <f t="shared" si="20"/>
        <v>0.1232876712</v>
      </c>
      <c r="EK105" s="116" t="str">
        <f t="shared" si="21"/>
        <v>Early</v>
      </c>
      <c r="EL105" s="112"/>
      <c r="EM105" s="118">
        <f t="shared" si="22"/>
        <v>1.9</v>
      </c>
      <c r="EN105" s="118">
        <f t="shared" si="23"/>
        <v>2.3</v>
      </c>
      <c r="EO105" s="119">
        <f t="shared" si="24"/>
        <v>4.2</v>
      </c>
      <c r="EP105" s="115">
        <f>1+((EO105-MIN(market_ratings_sums))*(4)/(MAX(market_ratings_sums) - MIN(market_ratings_sums)))</f>
        <v>2.052631579</v>
      </c>
      <c r="EQ105" s="116" t="str">
        <f t="shared" si="25"/>
        <v>No</v>
      </c>
      <c r="ER105" s="112"/>
      <c r="ES105" s="123">
        <f>1+((DX105-MIN(industry_experiences))*(4)/(MAX(industry_experiences) - MIN(industry_experiences)))</f>
        <v>1</v>
      </c>
      <c r="ET105" s="123">
        <f>1+((DY105-MIN(previous_startups))*(4)/(MAX(previous_startups) - MIN(previous_startups)))</f>
        <v>1</v>
      </c>
      <c r="EU105" s="123">
        <f>1+((DZ105-MIN(exits))*(4)/(MAX(exits) - MIN(exits)))</f>
        <v>1</v>
      </c>
      <c r="EV105" s="119">
        <f t="shared" si="26"/>
        <v>3</v>
      </c>
      <c r="EW105" s="124">
        <f>1+((EV105-MIN(team_ratings_sums))*(4)/(MAX(team_ratings_sums) - MIN(team_ratings_sums)))</f>
        <v>1</v>
      </c>
      <c r="EX105" s="116" t="str">
        <f t="shared" si="27"/>
        <v>20 - 34</v>
      </c>
      <c r="EY105" s="125">
        <f t="shared" si="28"/>
        <v>0.2054794521</v>
      </c>
      <c r="EZ105" s="116">
        <f t="shared" si="29"/>
        <v>1</v>
      </c>
      <c r="FA105" s="125">
        <f t="shared" si="30"/>
        <v>0.4383561644</v>
      </c>
      <c r="FB105" s="116">
        <f t="shared" si="31"/>
        <v>1</v>
      </c>
      <c r="FC105" s="125">
        <f t="shared" si="32"/>
        <v>0.08219178082</v>
      </c>
      <c r="FD105" s="116" t="str">
        <f t="shared" si="33"/>
        <v>No</v>
      </c>
      <c r="FE105" s="125">
        <f t="shared" si="34"/>
        <v>0.7534246575</v>
      </c>
      <c r="FF105" s="116" t="str">
        <f t="shared" ref="FF105:FH105" si="270">BJ105</f>
        <v>No</v>
      </c>
      <c r="FG105" s="116" t="str">
        <f t="shared" si="270"/>
        <v>No</v>
      </c>
      <c r="FH105" s="116" t="str">
        <f t="shared" si="270"/>
        <v>No</v>
      </c>
      <c r="FI105" s="112"/>
      <c r="FJ105" s="116" t="str">
        <f t="shared" si="36"/>
        <v>Recurring</v>
      </c>
      <c r="FK105" s="125">
        <f t="shared" si="37"/>
        <v>0.397260274</v>
      </c>
      <c r="FL105" s="116" t="str">
        <f t="shared" si="38"/>
        <v>B2B</v>
      </c>
      <c r="FM105" s="125">
        <f t="shared" si="39"/>
        <v>0.2465753425</v>
      </c>
      <c r="FN105" s="116" t="str">
        <f t="shared" si="40"/>
        <v>High</v>
      </c>
      <c r="FO105" s="125">
        <f t="shared" si="41"/>
        <v>0.5616438356</v>
      </c>
      <c r="FP105" s="116" t="str">
        <f t="shared" si="42"/>
        <v>Low</v>
      </c>
      <c r="FQ105" s="125">
        <f t="shared" si="43"/>
        <v>0.3561643836</v>
      </c>
      <c r="FR105" s="112"/>
      <c r="FS105" s="123">
        <f t="shared" si="44"/>
        <v>1</v>
      </c>
      <c r="FT105" s="123">
        <f t="shared" si="45"/>
        <v>1</v>
      </c>
      <c r="FU105" s="123">
        <f t="shared" si="46"/>
        <v>1</v>
      </c>
      <c r="FV105" s="123">
        <f t="shared" si="47"/>
        <v>5</v>
      </c>
      <c r="FW105" s="119">
        <f t="shared" si="48"/>
        <v>8</v>
      </c>
      <c r="FX105" s="115">
        <f>1+((FW105-MIN(performance_ratings_sums))*(4)/(MAX(performance_ratings_sums) - MIN(performance_ratings_sums)))</f>
        <v>1.485981308</v>
      </c>
      <c r="FY105" s="116" t="str">
        <f t="shared" si="49"/>
        <v>Pre-Product</v>
      </c>
      <c r="FZ105" s="126">
        <f t="shared" si="50"/>
        <v>0.2328767123</v>
      </c>
      <c r="GA105" s="112"/>
      <c r="GB105" s="127">
        <f t="shared" si="51"/>
        <v>3</v>
      </c>
      <c r="GC105" s="116" t="str">
        <f t="shared" si="52"/>
        <v>No</v>
      </c>
      <c r="GD105" s="126">
        <f t="shared" si="53"/>
        <v>0.7671232877</v>
      </c>
      <c r="GE105" s="126" t="str">
        <f t="shared" si="54"/>
        <v>High</v>
      </c>
      <c r="GF105" s="126">
        <f t="shared" si="55"/>
        <v>0.4520547945</v>
      </c>
      <c r="GG105" s="126" t="str">
        <f t="shared" si="56"/>
        <v>High</v>
      </c>
      <c r="GH105" s="126">
        <f t="shared" si="57"/>
        <v>0.8082191781</v>
      </c>
      <c r="GI105" s="112"/>
      <c r="GJ105" s="116"/>
      <c r="GK105" s="119">
        <f t="shared" si="58"/>
        <v>12.13861289</v>
      </c>
      <c r="GL105" s="128">
        <f>1+((GK105-MIN(ratings_sums))*(4)/(MAX(ratings_sums) - MIN(ratings_sums)))</f>
        <v>2.517207784</v>
      </c>
    </row>
    <row r="106" ht="15.75" customHeight="1">
      <c r="A106" s="200" t="s">
        <v>681</v>
      </c>
      <c r="B106" s="191">
        <v>1769308.0</v>
      </c>
      <c r="C106" s="180" t="s">
        <v>997</v>
      </c>
      <c r="D106" s="204">
        <v>43524.56875</v>
      </c>
      <c r="E106" s="175" t="s">
        <v>381</v>
      </c>
      <c r="F106" s="192" t="s">
        <v>998</v>
      </c>
      <c r="G106" s="192" t="s">
        <v>999</v>
      </c>
      <c r="H106" s="193">
        <v>43854.0</v>
      </c>
      <c r="I106" s="197" t="s">
        <v>1000</v>
      </c>
      <c r="J106" s="180" t="s">
        <v>997</v>
      </c>
      <c r="K106" s="175" t="s">
        <v>437</v>
      </c>
      <c r="L106" s="175" t="s">
        <v>117</v>
      </c>
      <c r="M106" s="175" t="s">
        <v>31</v>
      </c>
      <c r="N106" s="175" t="s">
        <v>32</v>
      </c>
      <c r="O106" s="175" t="s">
        <v>35</v>
      </c>
      <c r="P106" s="171"/>
      <c r="Q106" s="175" t="s">
        <v>121</v>
      </c>
      <c r="R106" s="181"/>
      <c r="S106" s="182"/>
      <c r="T106" s="21">
        <v>3900000.0</v>
      </c>
      <c r="U106" s="16"/>
      <c r="V106" s="198"/>
      <c r="W106" s="96" t="str">
        <f t="shared" si="125"/>
        <v/>
      </c>
      <c r="X106" s="98">
        <f t="shared" si="126"/>
        <v>3900000</v>
      </c>
      <c r="Y106" s="99" t="str">
        <f t="shared" si="127"/>
        <v>$2M - $4M</v>
      </c>
      <c r="Z106" s="175" t="s">
        <v>86</v>
      </c>
      <c r="AA106" s="175" t="s">
        <v>37</v>
      </c>
      <c r="AB106" s="175" t="s">
        <v>38</v>
      </c>
      <c r="AC106" s="175" t="s">
        <v>469</v>
      </c>
      <c r="AD106" s="175" t="s">
        <v>89</v>
      </c>
      <c r="AE106" s="175" t="s">
        <v>39</v>
      </c>
      <c r="AF106" s="170" t="s">
        <v>469</v>
      </c>
      <c r="AG106" s="16">
        <v>3.0E10</v>
      </c>
      <c r="AH106" s="97" t="str">
        <f t="shared" si="128"/>
        <v>$25B-$50B</v>
      </c>
      <c r="AI106" s="16">
        <v>2.0E9</v>
      </c>
      <c r="AJ106" s="97" t="str">
        <f t="shared" si="129"/>
        <v>$1B-$5B</v>
      </c>
      <c r="AK106" s="199">
        <v>0.05</v>
      </c>
      <c r="AL106" s="88" t="str">
        <f t="shared" si="130"/>
        <v>0%-10%</v>
      </c>
      <c r="AM106" s="191">
        <v>1.0</v>
      </c>
      <c r="AN106" s="175" t="s">
        <v>39</v>
      </c>
      <c r="AO106" s="175" t="s">
        <v>89</v>
      </c>
      <c r="AP106" s="175" t="s">
        <v>90</v>
      </c>
      <c r="AQ106" s="143" t="s">
        <v>39</v>
      </c>
      <c r="AR106" s="143" t="s">
        <v>39</v>
      </c>
      <c r="AS106" s="175" t="s">
        <v>493</v>
      </c>
      <c r="AT106" s="175" t="s">
        <v>493</v>
      </c>
      <c r="AU106" s="175" t="s">
        <v>469</v>
      </c>
      <c r="AV106" s="175" t="s">
        <v>469</v>
      </c>
      <c r="AW106" s="16">
        <v>0.0</v>
      </c>
      <c r="AX106" s="96" t="str">
        <f t="shared" si="131"/>
        <v>&lt; $10K</v>
      </c>
      <c r="AY106" s="16">
        <v>0.0</v>
      </c>
      <c r="AZ106" s="16">
        <v>0.0</v>
      </c>
      <c r="BA106" s="103" t="str">
        <f t="shared" si="132"/>
        <v>&lt; $10K</v>
      </c>
      <c r="BB106" s="103">
        <f t="shared" si="133"/>
        <v>1</v>
      </c>
      <c r="BC106" s="103" t="str">
        <f t="shared" si="134"/>
        <v>90% - 100%</v>
      </c>
      <c r="BD106" s="175" t="s">
        <v>91</v>
      </c>
      <c r="BE106" s="171"/>
      <c r="BF106" s="175" t="s">
        <v>493</v>
      </c>
      <c r="BG106" s="170">
        <v>2.0</v>
      </c>
      <c r="BH106" s="191">
        <v>1.0</v>
      </c>
      <c r="BI106" s="175" t="s">
        <v>469</v>
      </c>
      <c r="BJ106" s="175" t="s">
        <v>469</v>
      </c>
      <c r="BK106" s="175" t="s">
        <v>469</v>
      </c>
      <c r="BL106" s="175" t="s">
        <v>469</v>
      </c>
      <c r="BM106" s="191">
        <v>1.0</v>
      </c>
      <c r="BN106" s="191">
        <v>3.0</v>
      </c>
      <c r="BO106" s="191">
        <v>0.0</v>
      </c>
      <c r="BP106" s="191">
        <v>0.0</v>
      </c>
      <c r="BQ106" s="108"/>
      <c r="BR106" s="15">
        <v>15.0</v>
      </c>
      <c r="BS106" s="15">
        <v>0.0</v>
      </c>
      <c r="BT106" s="15">
        <v>0.0</v>
      </c>
      <c r="BU106" s="15">
        <v>60.0</v>
      </c>
      <c r="BV106" s="15" t="s">
        <v>469</v>
      </c>
      <c r="BW106" s="108"/>
      <c r="CC106" s="108"/>
      <c r="CI106" s="108"/>
      <c r="CO106" s="108"/>
      <c r="CU106" s="108"/>
      <c r="DA106" s="108"/>
      <c r="DG106" s="108"/>
      <c r="DM106" s="108"/>
      <c r="DS106" s="108"/>
      <c r="DT106" s="108"/>
      <c r="DU106" s="108"/>
      <c r="DW106" s="109"/>
      <c r="DX106" s="110">
        <f t="shared" si="13"/>
        <v>15</v>
      </c>
      <c r="DY106" s="111">
        <f t="shared" ref="DY106:DZ106" si="271">sum(BS106,BY106,CE106,CK106,CQ106,CW106,DC106,DI106,DO106)</f>
        <v>0</v>
      </c>
      <c r="DZ106" s="111">
        <f t="shared" si="271"/>
        <v>0</v>
      </c>
      <c r="EA106" s="110">
        <f t="shared" si="15"/>
        <v>60</v>
      </c>
      <c r="EB106" s="99" t="str">
        <f t="shared" si="16"/>
        <v>55+</v>
      </c>
      <c r="EC106" s="112"/>
      <c r="ED106" s="113">
        <f t="shared" si="17"/>
        <v>4.6</v>
      </c>
      <c r="EE106" s="114" t="str">
        <f>IF(V106 &lt;&gt; "", 1+((V106-MIN(discount_rates))*(4)/(MAX(discount_rates) - MIN(discount_rates))), "")</f>
        <v/>
      </c>
      <c r="EF106" s="114" t="str">
        <f>IF(Q106="Debt", (1+((S106-MIN(interest_rates))*(4)/(MAX(interest_rates) - MIN(interest_rates)))), "")</f>
        <v/>
      </c>
      <c r="EG106" s="114" t="str">
        <f>IF(OR(Q106="Revenue Share", Q106="Profit Share"), (1+((R106-MIN(return_mutiples))*(4)/(MAX(return_mutiples) - MIN(return_mutiples)))), "")</f>
        <v/>
      </c>
      <c r="EH106" s="115">
        <f t="shared" si="18"/>
        <v>4.6</v>
      </c>
      <c r="EI106" s="116" t="str">
        <f t="shared" si="19"/>
        <v>Equity - Common</v>
      </c>
      <c r="EJ106" s="117">
        <f t="shared" si="20"/>
        <v>0.3287671233</v>
      </c>
      <c r="EK106" s="116" t="str">
        <f t="shared" si="21"/>
        <v>Early</v>
      </c>
      <c r="EL106" s="112"/>
      <c r="EM106" s="118">
        <f t="shared" si="22"/>
        <v>2.7</v>
      </c>
      <c r="EN106" s="118">
        <f t="shared" si="23"/>
        <v>1.7</v>
      </c>
      <c r="EO106" s="119">
        <f t="shared" si="24"/>
        <v>4.4</v>
      </c>
      <c r="EP106" s="115">
        <f>1+((EO106-MIN(market_ratings_sums))*(4)/(MAX(market_ratings_sums) - MIN(market_ratings_sums)))</f>
        <v>2.192982456</v>
      </c>
      <c r="EQ106" s="116" t="str">
        <f t="shared" si="25"/>
        <v>Yes</v>
      </c>
      <c r="ER106" s="112"/>
      <c r="ES106" s="123">
        <f>1+((DX106-MIN(industry_experiences))*(4)/(MAX(industry_experiences) - MIN(industry_experiences)))</f>
        <v>2.428571429</v>
      </c>
      <c r="ET106" s="123">
        <f>1+((DY106-MIN(previous_startups))*(4)/(MAX(previous_startups) - MIN(previous_startups)))</f>
        <v>1</v>
      </c>
      <c r="EU106" s="123">
        <f>1+((DZ106-MIN(exits))*(4)/(MAX(exits) - MIN(exits)))</f>
        <v>1</v>
      </c>
      <c r="EV106" s="119">
        <f t="shared" si="26"/>
        <v>4.428571429</v>
      </c>
      <c r="EW106" s="124">
        <f>1+((EV106-MIN(team_ratings_sums))*(4)/(MAX(team_ratings_sums) - MIN(team_ratings_sums)))</f>
        <v>1.782608696</v>
      </c>
      <c r="EX106" s="116" t="str">
        <f t="shared" si="27"/>
        <v>55+</v>
      </c>
      <c r="EY106" s="125">
        <f t="shared" si="28"/>
        <v>0.1095890411</v>
      </c>
      <c r="EZ106" s="116">
        <f t="shared" si="29"/>
        <v>1</v>
      </c>
      <c r="FA106" s="125">
        <f t="shared" si="30"/>
        <v>0.4383561644</v>
      </c>
      <c r="FB106" s="116">
        <f t="shared" si="31"/>
        <v>3</v>
      </c>
      <c r="FC106" s="125">
        <f t="shared" si="32"/>
        <v>0.08219178082</v>
      </c>
      <c r="FD106" s="116" t="str">
        <f t="shared" si="33"/>
        <v>No</v>
      </c>
      <c r="FE106" s="125">
        <f t="shared" si="34"/>
        <v>0.7534246575</v>
      </c>
      <c r="FF106" s="116" t="str">
        <f t="shared" ref="FF106:FH106" si="272">BJ106</f>
        <v>No</v>
      </c>
      <c r="FG106" s="116" t="str">
        <f t="shared" si="272"/>
        <v>No</v>
      </c>
      <c r="FH106" s="116" t="str">
        <f t="shared" si="272"/>
        <v>No</v>
      </c>
      <c r="FI106" s="112"/>
      <c r="FJ106" s="116" t="str">
        <f t="shared" si="36"/>
        <v>Recurring</v>
      </c>
      <c r="FK106" s="125">
        <f t="shared" si="37"/>
        <v>0.397260274</v>
      </c>
      <c r="FL106" s="116" t="str">
        <f t="shared" si="38"/>
        <v>B2B</v>
      </c>
      <c r="FM106" s="125">
        <f t="shared" si="39"/>
        <v>0.2465753425</v>
      </c>
      <c r="FN106" s="116" t="str">
        <f t="shared" si="40"/>
        <v>Low</v>
      </c>
      <c r="FO106" s="125">
        <f t="shared" si="41"/>
        <v>0.4383561644</v>
      </c>
      <c r="FP106" s="116" t="str">
        <f t="shared" si="42"/>
        <v>High</v>
      </c>
      <c r="FQ106" s="125">
        <f t="shared" si="43"/>
        <v>0.6438356164</v>
      </c>
      <c r="FR106" s="112"/>
      <c r="FS106" s="123">
        <f t="shared" si="44"/>
        <v>1</v>
      </c>
      <c r="FT106" s="123">
        <f t="shared" si="45"/>
        <v>1</v>
      </c>
      <c r="FU106" s="123">
        <f t="shared" si="46"/>
        <v>1</v>
      </c>
      <c r="FV106" s="123">
        <f t="shared" si="47"/>
        <v>5</v>
      </c>
      <c r="FW106" s="119">
        <f t="shared" si="48"/>
        <v>8</v>
      </c>
      <c r="FX106" s="115">
        <f>1+((FW106-MIN(performance_ratings_sums))*(4)/(MAX(performance_ratings_sums) - MIN(performance_ratings_sums)))</f>
        <v>1.485981308</v>
      </c>
      <c r="FY106" s="116" t="str">
        <f t="shared" si="49"/>
        <v>Pre-Revenue</v>
      </c>
      <c r="FZ106" s="126">
        <f t="shared" si="50"/>
        <v>0.2054794521</v>
      </c>
      <c r="GA106" s="112"/>
      <c r="GB106" s="127">
        <f t="shared" si="51"/>
        <v>3</v>
      </c>
      <c r="GC106" s="116" t="str">
        <f t="shared" si="52"/>
        <v>Yes</v>
      </c>
      <c r="GD106" s="126">
        <f t="shared" si="53"/>
        <v>0.2328767123</v>
      </c>
      <c r="GE106" s="126" t="str">
        <f t="shared" si="54"/>
        <v>High</v>
      </c>
      <c r="GF106" s="126">
        <f t="shared" si="55"/>
        <v>0.4520547945</v>
      </c>
      <c r="GG106" s="126" t="str">
        <f t="shared" si="56"/>
        <v>High</v>
      </c>
      <c r="GH106" s="126">
        <f t="shared" si="57"/>
        <v>0.8082191781</v>
      </c>
      <c r="GI106" s="112"/>
      <c r="GJ106" s="116"/>
      <c r="GK106" s="119">
        <f t="shared" si="58"/>
        <v>13.06157246</v>
      </c>
      <c r="GL106" s="128">
        <f>1+((GK106-MIN(ratings_sums))*(4)/(MAX(ratings_sums) - MIN(ratings_sums)))</f>
        <v>2.800408669</v>
      </c>
    </row>
    <row r="107" ht="15.75" customHeight="1">
      <c r="A107" s="161" t="s">
        <v>681</v>
      </c>
      <c r="B107" s="15">
        <v>1769670.0</v>
      </c>
      <c r="C107" s="162" t="s">
        <v>1001</v>
      </c>
      <c r="D107" s="163">
        <v>43531.791666666664</v>
      </c>
      <c r="E107" s="15" t="s">
        <v>381</v>
      </c>
      <c r="F107" s="164" t="s">
        <v>1002</v>
      </c>
      <c r="G107" s="164" t="s">
        <v>1003</v>
      </c>
      <c r="H107" s="173">
        <v>43893.0</v>
      </c>
      <c r="I107" s="162" t="s">
        <v>1004</v>
      </c>
      <c r="J107" s="162" t="s">
        <v>1001</v>
      </c>
      <c r="K107" s="15" t="s">
        <v>445</v>
      </c>
      <c r="L107" s="15" t="s">
        <v>390</v>
      </c>
      <c r="M107" s="15" t="s">
        <v>31</v>
      </c>
      <c r="N107" s="15" t="s">
        <v>82</v>
      </c>
      <c r="O107" s="15" t="s">
        <v>35</v>
      </c>
      <c r="Q107" s="15" t="s">
        <v>225</v>
      </c>
      <c r="R107" s="166"/>
      <c r="S107" s="120"/>
      <c r="T107" s="69">
        <v>1250000.0</v>
      </c>
      <c r="U107" s="69"/>
      <c r="V107" s="185"/>
      <c r="W107" s="96" t="str">
        <f t="shared" si="125"/>
        <v/>
      </c>
      <c r="X107" s="98">
        <f t="shared" si="126"/>
        <v>1250000</v>
      </c>
      <c r="Y107" s="99" t="str">
        <f t="shared" si="127"/>
        <v>$1M - $2M</v>
      </c>
      <c r="Z107" s="15" t="s">
        <v>86</v>
      </c>
      <c r="AA107" s="15" t="s">
        <v>37</v>
      </c>
      <c r="AB107" s="15" t="s">
        <v>38</v>
      </c>
      <c r="AC107" s="15" t="s">
        <v>469</v>
      </c>
      <c r="AD107" s="15" t="s">
        <v>39</v>
      </c>
      <c r="AE107" s="15" t="s">
        <v>39</v>
      </c>
      <c r="AF107" s="15" t="s">
        <v>469</v>
      </c>
      <c r="AG107" s="69">
        <v>5.8E12</v>
      </c>
      <c r="AH107" s="97" t="str">
        <f t="shared" si="128"/>
        <v>&gt; $1T</v>
      </c>
      <c r="AI107" s="69">
        <v>5.0E7</v>
      </c>
      <c r="AJ107" s="97" t="str">
        <f t="shared" si="129"/>
        <v>$50M-$100M</v>
      </c>
      <c r="AK107" s="167">
        <v>0.08</v>
      </c>
      <c r="AL107" s="88" t="str">
        <f t="shared" si="130"/>
        <v>0%-10%</v>
      </c>
      <c r="AM107" s="15">
        <v>30.0</v>
      </c>
      <c r="AN107" s="15" t="s">
        <v>39</v>
      </c>
      <c r="AO107" s="15" t="s">
        <v>89</v>
      </c>
      <c r="AP107" s="15" t="s">
        <v>40</v>
      </c>
      <c r="AQ107" s="168" t="s">
        <v>89</v>
      </c>
      <c r="AR107" s="168" t="s">
        <v>89</v>
      </c>
      <c r="AS107" s="15" t="s">
        <v>469</v>
      </c>
      <c r="AT107" s="15" t="s">
        <v>469</v>
      </c>
      <c r="AU107" s="15" t="s">
        <v>469</v>
      </c>
      <c r="AV107" s="15" t="s">
        <v>469</v>
      </c>
      <c r="AW107" s="69">
        <v>0.0</v>
      </c>
      <c r="AX107" s="96" t="str">
        <f t="shared" si="131"/>
        <v>&lt; $10K</v>
      </c>
      <c r="AY107" s="69"/>
      <c r="AZ107" s="69">
        <v>0.0</v>
      </c>
      <c r="BA107" s="103" t="str">
        <f t="shared" si="132"/>
        <v>&lt; $10K</v>
      </c>
      <c r="BB107" s="103">
        <f t="shared" si="133"/>
        <v>1</v>
      </c>
      <c r="BC107" s="103" t="str">
        <f t="shared" si="134"/>
        <v>90% - 100%</v>
      </c>
      <c r="BD107" s="15" t="s">
        <v>107</v>
      </c>
      <c r="BF107" s="15" t="s">
        <v>469</v>
      </c>
      <c r="BG107" s="15">
        <v>0.0</v>
      </c>
      <c r="BH107" s="15">
        <v>2.0</v>
      </c>
      <c r="BI107" s="15" t="s">
        <v>469</v>
      </c>
      <c r="BJ107" s="15" t="s">
        <v>493</v>
      </c>
      <c r="BK107" s="15" t="s">
        <v>469</v>
      </c>
      <c r="BL107" s="15" t="s">
        <v>469</v>
      </c>
      <c r="BM107" s="15">
        <v>2.0</v>
      </c>
      <c r="BN107" s="15">
        <v>13.0</v>
      </c>
      <c r="BO107" s="15">
        <v>1.0</v>
      </c>
      <c r="BP107" s="15">
        <v>0.0</v>
      </c>
      <c r="BQ107" s="108"/>
      <c r="BR107" s="15">
        <v>15.0</v>
      </c>
      <c r="BS107" s="15">
        <v>4.0</v>
      </c>
      <c r="BT107" s="15">
        <v>1.0</v>
      </c>
      <c r="BU107" s="15">
        <v>40.0</v>
      </c>
      <c r="BV107" s="15" t="s">
        <v>469</v>
      </c>
      <c r="BW107" s="108"/>
      <c r="BX107" s="15">
        <v>10.0</v>
      </c>
      <c r="BY107" s="15">
        <v>0.0</v>
      </c>
      <c r="BZ107" s="15">
        <v>0.0</v>
      </c>
      <c r="CA107" s="15">
        <v>36.0</v>
      </c>
      <c r="CB107" s="15" t="s">
        <v>469</v>
      </c>
      <c r="CC107" s="108"/>
      <c r="CI107" s="108"/>
      <c r="CO107" s="108"/>
      <c r="CU107" s="108"/>
      <c r="DA107" s="108"/>
      <c r="DG107" s="108"/>
      <c r="DM107" s="108"/>
      <c r="DS107" s="108"/>
      <c r="DT107" s="108"/>
      <c r="DU107" s="108"/>
      <c r="DW107" s="109"/>
      <c r="DX107" s="110">
        <f t="shared" si="13"/>
        <v>12.5</v>
      </c>
      <c r="DY107" s="111">
        <f t="shared" ref="DY107:DZ107" si="273">sum(BS107,BY107,CE107,CK107,CQ107,CW107,DC107,DI107,DO107)</f>
        <v>4</v>
      </c>
      <c r="DZ107" s="111">
        <f t="shared" si="273"/>
        <v>1</v>
      </c>
      <c r="EA107" s="110">
        <f t="shared" si="15"/>
        <v>38</v>
      </c>
      <c r="EB107" s="99" t="str">
        <f t="shared" si="16"/>
        <v>35 - 54</v>
      </c>
      <c r="EC107" s="112"/>
      <c r="ED107" s="113">
        <f t="shared" si="17"/>
        <v>4.8</v>
      </c>
      <c r="EE107" s="114" t="str">
        <f>IF(V107 &lt;&gt; "", 1+((V107-MIN(discount_rates))*(4)/(MAX(discount_rates) - MIN(discount_rates))), "")</f>
        <v/>
      </c>
      <c r="EF107" s="114" t="str">
        <f>IF(Q107="Debt", (1+((S107-MIN(interest_rates))*(4)/(MAX(interest_rates) - MIN(interest_rates)))), "")</f>
        <v/>
      </c>
      <c r="EG107" s="114" t="str">
        <f>IF(OR(Q107="Revenue Share", Q107="Profit Share"), (1+((R107-MIN(return_mutiples))*(4)/(MAX(return_mutiples) - MIN(return_mutiples)))), "")</f>
        <v/>
      </c>
      <c r="EH107" s="115">
        <f t="shared" si="18"/>
        <v>4.8</v>
      </c>
      <c r="EI107" s="116" t="str">
        <f t="shared" si="19"/>
        <v>Equity - Tokens</v>
      </c>
      <c r="EJ107" s="117">
        <f t="shared" si="20"/>
        <v>0</v>
      </c>
      <c r="EK107" s="116" t="str">
        <f t="shared" si="21"/>
        <v>Early</v>
      </c>
      <c r="EL107" s="112"/>
      <c r="EM107" s="118">
        <f t="shared" si="22"/>
        <v>1.6</v>
      </c>
      <c r="EN107" s="118">
        <f t="shared" si="23"/>
        <v>1.7</v>
      </c>
      <c r="EO107" s="119">
        <f t="shared" si="24"/>
        <v>3.3</v>
      </c>
      <c r="EP107" s="115">
        <f>1+((EO107-MIN(market_ratings_sums))*(4)/(MAX(market_ratings_sums) - MIN(market_ratings_sums)))</f>
        <v>1.421052632</v>
      </c>
      <c r="EQ107" s="116" t="str">
        <f t="shared" si="25"/>
        <v>No</v>
      </c>
      <c r="ER107" s="112"/>
      <c r="ES107" s="123">
        <f>1+((DX107-MIN(industry_experiences))*(4)/(MAX(industry_experiences) - MIN(industry_experiences)))</f>
        <v>2.19047619</v>
      </c>
      <c r="ET107" s="123">
        <f>1+((DY107-MIN(previous_startups))*(4)/(MAX(previous_startups) - MIN(previous_startups)))</f>
        <v>2.777777778</v>
      </c>
      <c r="EU107" s="123">
        <f>1+((DZ107-MIN(exits))*(4)/(MAX(exits) - MIN(exits)))</f>
        <v>2</v>
      </c>
      <c r="EV107" s="119">
        <f t="shared" si="26"/>
        <v>6.968253968</v>
      </c>
      <c r="EW107" s="124">
        <f>1+((EV107-MIN(team_ratings_sums))*(4)/(MAX(team_ratings_sums) - MIN(team_ratings_sums)))</f>
        <v>3.173913043</v>
      </c>
      <c r="EX107" s="116" t="str">
        <f t="shared" si="27"/>
        <v>35 - 54</v>
      </c>
      <c r="EY107" s="125">
        <f t="shared" si="28"/>
        <v>0.6849315068</v>
      </c>
      <c r="EZ107" s="116">
        <f t="shared" si="29"/>
        <v>2</v>
      </c>
      <c r="FA107" s="125">
        <f t="shared" si="30"/>
        <v>0.4520547945</v>
      </c>
      <c r="FB107" s="116">
        <f t="shared" si="31"/>
        <v>13</v>
      </c>
      <c r="FC107" s="125">
        <f t="shared" si="32"/>
        <v>0.02739726027</v>
      </c>
      <c r="FD107" s="116" t="str">
        <f t="shared" si="33"/>
        <v>No</v>
      </c>
      <c r="FE107" s="125">
        <f t="shared" si="34"/>
        <v>0.7534246575</v>
      </c>
      <c r="FF107" s="116" t="str">
        <f t="shared" ref="FF107:FH107" si="274">BJ107</f>
        <v>Yes</v>
      </c>
      <c r="FG107" s="116" t="str">
        <f t="shared" si="274"/>
        <v>No</v>
      </c>
      <c r="FH107" s="116" t="str">
        <f t="shared" si="274"/>
        <v>No</v>
      </c>
      <c r="FI107" s="112"/>
      <c r="FJ107" s="116" t="str">
        <f t="shared" si="36"/>
        <v>Recurring</v>
      </c>
      <c r="FK107" s="125">
        <f t="shared" si="37"/>
        <v>0.397260274</v>
      </c>
      <c r="FL107" s="116" t="str">
        <f t="shared" si="38"/>
        <v>B2B</v>
      </c>
      <c r="FM107" s="125">
        <f t="shared" si="39"/>
        <v>0.2465753425</v>
      </c>
      <c r="FN107" s="116" t="str">
        <f t="shared" si="40"/>
        <v>High</v>
      </c>
      <c r="FO107" s="125">
        <f t="shared" si="41"/>
        <v>0.5616438356</v>
      </c>
      <c r="FP107" s="116" t="str">
        <f t="shared" si="42"/>
        <v>High</v>
      </c>
      <c r="FQ107" s="125">
        <f t="shared" si="43"/>
        <v>0.6438356164</v>
      </c>
      <c r="FR107" s="112"/>
      <c r="FS107" s="123">
        <f t="shared" si="44"/>
        <v>1</v>
      </c>
      <c r="FT107" s="123">
        <f t="shared" si="45"/>
        <v>1</v>
      </c>
      <c r="FU107" s="123">
        <f t="shared" si="46"/>
        <v>1</v>
      </c>
      <c r="FV107" s="123">
        <f t="shared" si="47"/>
        <v>5</v>
      </c>
      <c r="FW107" s="119">
        <f t="shared" si="48"/>
        <v>8</v>
      </c>
      <c r="FX107" s="115">
        <f>1+((FW107-MIN(performance_ratings_sums))*(4)/(MAX(performance_ratings_sums) - MIN(performance_ratings_sums)))</f>
        <v>1.485981308</v>
      </c>
      <c r="FY107" s="116" t="str">
        <f t="shared" si="49"/>
        <v>Pre-Profit</v>
      </c>
      <c r="FZ107" s="126">
        <f t="shared" si="50"/>
        <v>0.4931506849</v>
      </c>
      <c r="GA107" s="112"/>
      <c r="GB107" s="127">
        <f t="shared" si="51"/>
        <v>3</v>
      </c>
      <c r="GC107" s="116" t="str">
        <f t="shared" si="52"/>
        <v>No</v>
      </c>
      <c r="GD107" s="126">
        <f t="shared" si="53"/>
        <v>0.7671232877</v>
      </c>
      <c r="GE107" s="126" t="str">
        <f t="shared" si="54"/>
        <v>Low</v>
      </c>
      <c r="GF107" s="126">
        <f t="shared" si="55"/>
        <v>0.5479452055</v>
      </c>
      <c r="GG107" s="126" t="str">
        <f t="shared" si="56"/>
        <v>Low</v>
      </c>
      <c r="GH107" s="126">
        <f t="shared" si="57"/>
        <v>0.1917808219</v>
      </c>
      <c r="GI107" s="112"/>
      <c r="GJ107" s="116"/>
      <c r="GK107" s="119">
        <f t="shared" si="58"/>
        <v>13.88094698</v>
      </c>
      <c r="GL107" s="128">
        <f>1+((GK107-MIN(ratings_sums))*(4)/(MAX(ratings_sums) - MIN(ratings_sums)))</f>
        <v>3.051825521</v>
      </c>
    </row>
    <row r="108" ht="15.75" customHeight="1">
      <c r="A108" s="176" t="s">
        <v>681</v>
      </c>
      <c r="B108" s="15">
        <v>1767862.0</v>
      </c>
      <c r="C108" s="162" t="s">
        <v>1005</v>
      </c>
      <c r="D108" s="163">
        <v>43544.54791666667</v>
      </c>
      <c r="E108" s="15" t="s">
        <v>381</v>
      </c>
      <c r="F108" s="164" t="s">
        <v>1006</v>
      </c>
      <c r="G108" s="164" t="s">
        <v>1007</v>
      </c>
      <c r="H108" s="173">
        <v>43872.0</v>
      </c>
      <c r="I108" s="162" t="s">
        <v>1008</v>
      </c>
      <c r="J108" s="162" t="s">
        <v>1005</v>
      </c>
      <c r="K108" s="15" t="s">
        <v>442</v>
      </c>
      <c r="L108" s="15" t="s">
        <v>80</v>
      </c>
      <c r="M108" s="15" t="s">
        <v>31</v>
      </c>
      <c r="N108" s="15" t="s">
        <v>32</v>
      </c>
      <c r="O108" s="15" t="s">
        <v>35</v>
      </c>
      <c r="Q108" s="15" t="s">
        <v>84</v>
      </c>
      <c r="R108" s="166"/>
      <c r="S108" s="120"/>
      <c r="T108" s="69"/>
      <c r="U108" s="69">
        <v>3.0E7</v>
      </c>
      <c r="V108" s="132">
        <v>0.2</v>
      </c>
      <c r="W108" s="96">
        <f t="shared" si="125"/>
        <v>24000000</v>
      </c>
      <c r="X108" s="98">
        <f t="shared" si="126"/>
        <v>24000000</v>
      </c>
      <c r="Y108" s="99" t="str">
        <f t="shared" si="127"/>
        <v>$22M - $24M</v>
      </c>
      <c r="Z108" s="15" t="s">
        <v>36</v>
      </c>
      <c r="AA108" s="15" t="s">
        <v>123</v>
      </c>
      <c r="AB108" s="15" t="s">
        <v>38</v>
      </c>
      <c r="AC108" s="15" t="s">
        <v>469</v>
      </c>
      <c r="AD108" s="15" t="s">
        <v>39</v>
      </c>
      <c r="AE108" s="15" t="s">
        <v>39</v>
      </c>
      <c r="AF108" s="15" t="s">
        <v>469</v>
      </c>
      <c r="AG108" s="69">
        <v>3.5E10</v>
      </c>
      <c r="AH108" s="97" t="str">
        <f t="shared" si="128"/>
        <v>$25B-$50B</v>
      </c>
      <c r="AI108" s="69">
        <v>4.0E9</v>
      </c>
      <c r="AJ108" s="97" t="str">
        <f t="shared" si="129"/>
        <v>$1B-$5B</v>
      </c>
      <c r="AK108" s="167">
        <v>0.1</v>
      </c>
      <c r="AL108" s="88" t="str">
        <f t="shared" si="130"/>
        <v>0%-10%</v>
      </c>
      <c r="AM108" s="15">
        <v>10.0</v>
      </c>
      <c r="AN108" s="15" t="s">
        <v>39</v>
      </c>
      <c r="AO108" s="15" t="s">
        <v>89</v>
      </c>
      <c r="AP108" s="15" t="s">
        <v>90</v>
      </c>
      <c r="AQ108" s="168" t="s">
        <v>89</v>
      </c>
      <c r="AR108" s="168" t="s">
        <v>89</v>
      </c>
      <c r="AS108" s="15" t="s">
        <v>469</v>
      </c>
      <c r="AT108" s="15" t="s">
        <v>469</v>
      </c>
      <c r="AU108" s="15" t="s">
        <v>469</v>
      </c>
      <c r="AV108" s="15" t="s">
        <v>493</v>
      </c>
      <c r="AW108" s="69">
        <v>68.0</v>
      </c>
      <c r="AX108" s="96" t="str">
        <f t="shared" si="131"/>
        <v>&lt; $10K</v>
      </c>
      <c r="AY108" s="69">
        <v>3660.0</v>
      </c>
      <c r="AZ108" s="69">
        <v>0.0</v>
      </c>
      <c r="BA108" s="103" t="str">
        <f t="shared" si="132"/>
        <v>&lt; $10K</v>
      </c>
      <c r="BB108" s="103">
        <f t="shared" si="133"/>
        <v>1</v>
      </c>
      <c r="BC108" s="103" t="str">
        <f t="shared" si="134"/>
        <v>90% - 100%</v>
      </c>
      <c r="BD108" s="15" t="s">
        <v>107</v>
      </c>
      <c r="BF108" s="15" t="s">
        <v>493</v>
      </c>
      <c r="BG108" s="15">
        <v>1.0</v>
      </c>
      <c r="BH108" s="15">
        <v>2.0</v>
      </c>
      <c r="BI108" s="15" t="s">
        <v>469</v>
      </c>
      <c r="BJ108" s="15" t="s">
        <v>493</v>
      </c>
      <c r="BK108" s="15" t="s">
        <v>493</v>
      </c>
      <c r="BL108" s="15" t="s">
        <v>469</v>
      </c>
      <c r="BM108" s="15">
        <v>1.0</v>
      </c>
      <c r="BN108" s="15">
        <v>2.0</v>
      </c>
      <c r="BO108" s="15">
        <v>3.0</v>
      </c>
      <c r="BP108" s="15">
        <v>0.0</v>
      </c>
      <c r="BQ108" s="108"/>
      <c r="BR108" s="15">
        <v>15.0</v>
      </c>
      <c r="BS108" s="15">
        <v>1.0</v>
      </c>
      <c r="BT108" s="15">
        <v>0.0</v>
      </c>
      <c r="BU108" s="15">
        <v>40.0</v>
      </c>
      <c r="BV108" s="15" t="s">
        <v>469</v>
      </c>
      <c r="BW108" s="108"/>
      <c r="BX108" s="15">
        <v>15.0</v>
      </c>
      <c r="BY108" s="15">
        <v>0.0</v>
      </c>
      <c r="BZ108" s="15">
        <v>0.0</v>
      </c>
      <c r="CA108" s="15">
        <v>39.0</v>
      </c>
      <c r="CB108" s="15" t="s">
        <v>469</v>
      </c>
      <c r="CC108" s="108"/>
      <c r="CI108" s="108"/>
      <c r="CO108" s="108"/>
      <c r="CU108" s="108"/>
      <c r="DA108" s="108"/>
      <c r="DG108" s="108"/>
      <c r="DM108" s="108"/>
      <c r="DS108" s="108"/>
      <c r="DT108" s="108"/>
      <c r="DU108" s="108"/>
      <c r="DW108" s="109"/>
      <c r="DX108" s="110">
        <f t="shared" si="13"/>
        <v>15</v>
      </c>
      <c r="DY108" s="111">
        <f t="shared" ref="DY108:DZ108" si="275">sum(BS108,BY108,CE108,CK108,CQ108,CW108,DC108,DI108,DO108)</f>
        <v>1</v>
      </c>
      <c r="DZ108" s="111">
        <f t="shared" si="275"/>
        <v>0</v>
      </c>
      <c r="EA108" s="110">
        <f t="shared" si="15"/>
        <v>39.5</v>
      </c>
      <c r="EB108" s="99" t="str">
        <f t="shared" si="16"/>
        <v>35 - 54</v>
      </c>
      <c r="EC108" s="112"/>
      <c r="ED108" s="113">
        <f t="shared" si="17"/>
        <v>2.7</v>
      </c>
      <c r="EE108" s="114">
        <f>IF(V108 &lt;&gt; "", 1+((V108-MIN(discount_rates))*(4)/(MAX(discount_rates) - MIN(discount_rates))), "")</f>
        <v>3.105263158</v>
      </c>
      <c r="EF108" s="114" t="str">
        <f>IF(Q108="Debt", (1+((S108-MIN(interest_rates))*(4)/(MAX(interest_rates) - MIN(interest_rates)))), "")</f>
        <v/>
      </c>
      <c r="EG108" s="114" t="str">
        <f>IF(OR(Q108="Revenue Share", Q108="Profit Share"), (1+((R108-MIN(return_mutiples))*(4)/(MAX(return_mutiples) - MIN(return_mutiples)))), "")</f>
        <v/>
      </c>
      <c r="EH108" s="115">
        <f t="shared" si="18"/>
        <v>2.7</v>
      </c>
      <c r="EI108" s="116" t="str">
        <f t="shared" si="19"/>
        <v>Convertible Note</v>
      </c>
      <c r="EJ108" s="117">
        <f t="shared" si="20"/>
        <v>0.1232876712</v>
      </c>
      <c r="EK108" s="116" t="str">
        <f t="shared" si="21"/>
        <v>Early</v>
      </c>
      <c r="EL108" s="112"/>
      <c r="EM108" s="118">
        <f t="shared" si="22"/>
        <v>2.7</v>
      </c>
      <c r="EN108" s="118">
        <f t="shared" si="23"/>
        <v>1.7</v>
      </c>
      <c r="EO108" s="119">
        <f t="shared" si="24"/>
        <v>4.4</v>
      </c>
      <c r="EP108" s="115">
        <f>1+((EO108-MIN(market_ratings_sums))*(4)/(MAX(market_ratings_sums) - MIN(market_ratings_sums)))</f>
        <v>2.192982456</v>
      </c>
      <c r="EQ108" s="116" t="str">
        <f t="shared" si="25"/>
        <v>No</v>
      </c>
      <c r="ER108" s="112"/>
      <c r="ES108" s="123">
        <f>1+((DX108-MIN(industry_experiences))*(4)/(MAX(industry_experiences) - MIN(industry_experiences)))</f>
        <v>2.428571429</v>
      </c>
      <c r="ET108" s="123">
        <f>1+((DY108-MIN(previous_startups))*(4)/(MAX(previous_startups) - MIN(previous_startups)))</f>
        <v>1.444444444</v>
      </c>
      <c r="EU108" s="123">
        <f>1+((DZ108-MIN(exits))*(4)/(MAX(exits) - MIN(exits)))</f>
        <v>1</v>
      </c>
      <c r="EV108" s="119">
        <f t="shared" si="26"/>
        <v>4.873015873</v>
      </c>
      <c r="EW108" s="124">
        <f>1+((EV108-MIN(team_ratings_sums))*(4)/(MAX(team_ratings_sums) - MIN(team_ratings_sums)))</f>
        <v>2.026086957</v>
      </c>
      <c r="EX108" s="116" t="str">
        <f t="shared" si="27"/>
        <v>35 - 54</v>
      </c>
      <c r="EY108" s="125">
        <f t="shared" si="28"/>
        <v>0.6849315068</v>
      </c>
      <c r="EZ108" s="116">
        <f t="shared" si="29"/>
        <v>2</v>
      </c>
      <c r="FA108" s="125">
        <f t="shared" si="30"/>
        <v>0.4520547945</v>
      </c>
      <c r="FB108" s="116">
        <f t="shared" si="31"/>
        <v>2</v>
      </c>
      <c r="FC108" s="125">
        <f t="shared" si="32"/>
        <v>0.1369863014</v>
      </c>
      <c r="FD108" s="116" t="str">
        <f t="shared" si="33"/>
        <v>No</v>
      </c>
      <c r="FE108" s="125">
        <f t="shared" si="34"/>
        <v>0.7534246575</v>
      </c>
      <c r="FF108" s="116" t="str">
        <f t="shared" ref="FF108:FH108" si="276">BJ108</f>
        <v>Yes</v>
      </c>
      <c r="FG108" s="116" t="str">
        <f t="shared" si="276"/>
        <v>Yes</v>
      </c>
      <c r="FH108" s="116" t="str">
        <f t="shared" si="276"/>
        <v>No</v>
      </c>
      <c r="FI108" s="112"/>
      <c r="FJ108" s="116" t="str">
        <f t="shared" si="36"/>
        <v>Transactional</v>
      </c>
      <c r="FK108" s="125">
        <f t="shared" si="37"/>
        <v>0.602739726</v>
      </c>
      <c r="FL108" s="116" t="str">
        <f t="shared" si="38"/>
        <v>B2B/B2C</v>
      </c>
      <c r="FM108" s="125">
        <f t="shared" si="39"/>
        <v>0.3287671233</v>
      </c>
      <c r="FN108" s="116" t="str">
        <f t="shared" si="40"/>
        <v>High</v>
      </c>
      <c r="FO108" s="125">
        <f t="shared" si="41"/>
        <v>0.5616438356</v>
      </c>
      <c r="FP108" s="116" t="str">
        <f t="shared" si="42"/>
        <v>High</v>
      </c>
      <c r="FQ108" s="125">
        <f t="shared" si="43"/>
        <v>0.6438356164</v>
      </c>
      <c r="FR108" s="112"/>
      <c r="FS108" s="123">
        <f t="shared" si="44"/>
        <v>5</v>
      </c>
      <c r="FT108" s="123">
        <f t="shared" si="45"/>
        <v>1</v>
      </c>
      <c r="FU108" s="123">
        <f t="shared" si="46"/>
        <v>1</v>
      </c>
      <c r="FV108" s="123">
        <f t="shared" si="47"/>
        <v>5</v>
      </c>
      <c r="FW108" s="119">
        <f t="shared" si="48"/>
        <v>12</v>
      </c>
      <c r="FX108" s="115">
        <f>1+((FW108-MIN(performance_ratings_sums))*(4)/(MAX(performance_ratings_sums) - MIN(performance_ratings_sums)))</f>
        <v>2.981308411</v>
      </c>
      <c r="FY108" s="116" t="str">
        <f t="shared" si="49"/>
        <v>Pre-Profit</v>
      </c>
      <c r="FZ108" s="126">
        <f t="shared" si="50"/>
        <v>0.4931506849</v>
      </c>
      <c r="GA108" s="112"/>
      <c r="GB108" s="127">
        <f t="shared" si="51"/>
        <v>3</v>
      </c>
      <c r="GC108" s="116" t="str">
        <f t="shared" si="52"/>
        <v>No</v>
      </c>
      <c r="GD108" s="126">
        <f t="shared" si="53"/>
        <v>0.7671232877</v>
      </c>
      <c r="GE108" s="126" t="str">
        <f t="shared" si="54"/>
        <v>Low</v>
      </c>
      <c r="GF108" s="126">
        <f t="shared" si="55"/>
        <v>0.5479452055</v>
      </c>
      <c r="GG108" s="126" t="str">
        <f t="shared" si="56"/>
        <v>Low</v>
      </c>
      <c r="GH108" s="126">
        <f t="shared" si="57"/>
        <v>0.1917808219</v>
      </c>
      <c r="GI108" s="112"/>
      <c r="GJ108" s="116"/>
      <c r="GK108" s="119">
        <f t="shared" si="58"/>
        <v>12.90037782</v>
      </c>
      <c r="GL108" s="128">
        <f>1+((GK108-MIN(ratings_sums))*(4)/(MAX(ratings_sums) - MIN(ratings_sums)))</f>
        <v>2.750947712</v>
      </c>
    </row>
    <row r="109" ht="15.75" customHeight="1">
      <c r="A109" s="176" t="s">
        <v>681</v>
      </c>
      <c r="B109" s="15">
        <v>1771429.0</v>
      </c>
      <c r="C109" s="162" t="s">
        <v>1009</v>
      </c>
      <c r="D109" s="163">
        <v>43550.56180555555</v>
      </c>
      <c r="E109" s="15" t="s">
        <v>392</v>
      </c>
      <c r="F109" s="164" t="s">
        <v>1010</v>
      </c>
      <c r="G109" s="164" t="s">
        <v>1011</v>
      </c>
      <c r="H109" s="173">
        <v>43546.0</v>
      </c>
      <c r="I109" s="162" t="s">
        <v>1012</v>
      </c>
      <c r="J109" s="162" t="s">
        <v>1009</v>
      </c>
      <c r="K109" s="15" t="s">
        <v>498</v>
      </c>
      <c r="L109" s="15" t="s">
        <v>316</v>
      </c>
      <c r="M109" s="15" t="s">
        <v>31</v>
      </c>
      <c r="N109" s="15" t="s">
        <v>32</v>
      </c>
      <c r="O109" s="15" t="s">
        <v>35</v>
      </c>
      <c r="Q109" s="15" t="s">
        <v>135</v>
      </c>
      <c r="R109" s="166"/>
      <c r="S109" s="120"/>
      <c r="T109" s="69">
        <v>1.0E7</v>
      </c>
      <c r="U109" s="69"/>
      <c r="V109" s="132"/>
      <c r="W109" s="96" t="str">
        <f t="shared" si="125"/>
        <v/>
      </c>
      <c r="X109" s="98">
        <f t="shared" si="126"/>
        <v>10000000</v>
      </c>
      <c r="Y109" s="99" t="str">
        <f t="shared" si="127"/>
        <v>$8M - $10M</v>
      </c>
      <c r="Z109" s="15" t="s">
        <v>36</v>
      </c>
      <c r="AA109" s="15" t="s">
        <v>87</v>
      </c>
      <c r="AB109" s="15" t="s">
        <v>38</v>
      </c>
      <c r="AC109" s="15" t="s">
        <v>469</v>
      </c>
      <c r="AD109" s="15" t="s">
        <v>39</v>
      </c>
      <c r="AE109" s="15" t="s">
        <v>39</v>
      </c>
      <c r="AF109" s="15" t="s">
        <v>469</v>
      </c>
      <c r="AG109" s="69">
        <v>5.0E9</v>
      </c>
      <c r="AH109" s="97" t="str">
        <f t="shared" si="128"/>
        <v>$5B-$10B</v>
      </c>
      <c r="AI109" s="69">
        <v>2.0E9</v>
      </c>
      <c r="AJ109" s="97" t="str">
        <f t="shared" si="129"/>
        <v>$1B-$5B</v>
      </c>
      <c r="AK109" s="167">
        <v>0.23</v>
      </c>
      <c r="AL109" s="88" t="str">
        <f t="shared" si="130"/>
        <v>20%-30%</v>
      </c>
      <c r="AM109" s="15">
        <v>20.0</v>
      </c>
      <c r="AN109" s="15" t="s">
        <v>39</v>
      </c>
      <c r="AO109" s="15" t="s">
        <v>89</v>
      </c>
      <c r="AP109" s="15" t="s">
        <v>90</v>
      </c>
      <c r="AQ109" s="168" t="s">
        <v>89</v>
      </c>
      <c r="AR109" s="168" t="s">
        <v>39</v>
      </c>
      <c r="AS109" s="15" t="s">
        <v>469</v>
      </c>
      <c r="AT109" s="15" t="s">
        <v>469</v>
      </c>
      <c r="AU109" s="15" t="s">
        <v>493</v>
      </c>
      <c r="AV109" s="15" t="s">
        <v>493</v>
      </c>
      <c r="AW109" s="69">
        <v>1943802.0</v>
      </c>
      <c r="AX109" s="96" t="str">
        <f t="shared" si="131"/>
        <v>$1M - $2M</v>
      </c>
      <c r="AY109" s="69">
        <v>74802.0</v>
      </c>
      <c r="AZ109" s="69">
        <v>5674579.0</v>
      </c>
      <c r="BA109" s="103" t="str">
        <f t="shared" si="132"/>
        <v>&gt; $5M</v>
      </c>
      <c r="BB109" s="103">
        <f t="shared" si="133"/>
        <v>0.01318194707</v>
      </c>
      <c r="BC109" s="103" t="str">
        <f t="shared" si="134"/>
        <v>&lt; 10%</v>
      </c>
      <c r="BD109" s="15" t="s">
        <v>107</v>
      </c>
      <c r="BF109" s="15" t="s">
        <v>469</v>
      </c>
      <c r="BG109" s="15">
        <v>0.0</v>
      </c>
      <c r="BH109" s="15">
        <v>1.0</v>
      </c>
      <c r="BI109" s="15" t="s">
        <v>469</v>
      </c>
      <c r="BJ109" s="15" t="s">
        <v>469</v>
      </c>
      <c r="BK109" s="15" t="s">
        <v>469</v>
      </c>
      <c r="BL109" s="15" t="s">
        <v>469</v>
      </c>
      <c r="BM109" s="15">
        <v>1.0</v>
      </c>
      <c r="BN109" s="15">
        <v>8.0</v>
      </c>
      <c r="BO109" s="15">
        <v>0.0</v>
      </c>
      <c r="BP109" s="15">
        <v>0.0</v>
      </c>
      <c r="BQ109" s="108"/>
      <c r="BR109" s="15">
        <v>30.0</v>
      </c>
      <c r="BS109" s="15">
        <v>2.0</v>
      </c>
      <c r="BT109" s="15">
        <v>2.0</v>
      </c>
      <c r="BU109" s="15">
        <v>60.0</v>
      </c>
      <c r="BV109" s="15" t="s">
        <v>469</v>
      </c>
      <c r="BW109" s="108"/>
      <c r="CC109" s="108"/>
      <c r="CI109" s="108"/>
      <c r="CO109" s="108"/>
      <c r="CU109" s="108"/>
      <c r="DA109" s="108"/>
      <c r="DG109" s="108"/>
      <c r="DM109" s="108"/>
      <c r="DS109" s="108"/>
      <c r="DT109" s="108"/>
      <c r="DU109" s="108"/>
      <c r="DW109" s="109"/>
      <c r="DX109" s="110">
        <f t="shared" si="13"/>
        <v>30</v>
      </c>
      <c r="DY109" s="111">
        <f t="shared" ref="DY109:DZ109" si="277">sum(BS109,BY109,CE109,CK109,CQ109,CW109,DC109,DI109,DO109)</f>
        <v>2</v>
      </c>
      <c r="DZ109" s="111">
        <f t="shared" si="277"/>
        <v>2</v>
      </c>
      <c r="EA109" s="110">
        <f t="shared" si="15"/>
        <v>60</v>
      </c>
      <c r="EB109" s="99" t="str">
        <f t="shared" si="16"/>
        <v>55+</v>
      </c>
      <c r="EC109" s="112"/>
      <c r="ED109" s="113">
        <f t="shared" si="17"/>
        <v>4</v>
      </c>
      <c r="EE109" s="114" t="str">
        <f>IF(V109 &lt;&gt; "", 1+((V109-MIN(discount_rates))*(4)/(MAX(discount_rates) - MIN(discount_rates))), "")</f>
        <v/>
      </c>
      <c r="EF109" s="114" t="str">
        <f>IF(Q109="Debt", (1+((S109-MIN(interest_rates))*(4)/(MAX(interest_rates) - MIN(interest_rates)))), "")</f>
        <v/>
      </c>
      <c r="EG109" s="114" t="str">
        <f>IF(OR(Q109="Revenue Share", Q109="Profit Share"), (1+((R109-MIN(return_mutiples))*(4)/(MAX(return_mutiples) - MIN(return_mutiples)))), "")</f>
        <v/>
      </c>
      <c r="EH109" s="115">
        <f t="shared" si="18"/>
        <v>4</v>
      </c>
      <c r="EI109" s="116" t="str">
        <f t="shared" si="19"/>
        <v>Equity - Preferred</v>
      </c>
      <c r="EJ109" s="117">
        <f t="shared" si="20"/>
        <v>0.06849315068</v>
      </c>
      <c r="EK109" s="116" t="str">
        <f t="shared" si="21"/>
        <v>Early</v>
      </c>
      <c r="EL109" s="112"/>
      <c r="EM109" s="118">
        <f t="shared" si="22"/>
        <v>2.7</v>
      </c>
      <c r="EN109" s="118">
        <f t="shared" si="23"/>
        <v>3</v>
      </c>
      <c r="EO109" s="119">
        <f t="shared" si="24"/>
        <v>5.7</v>
      </c>
      <c r="EP109" s="115">
        <f>1+((EO109-MIN(market_ratings_sums))*(4)/(MAX(market_ratings_sums) - MIN(market_ratings_sums)))</f>
        <v>3.105263158</v>
      </c>
      <c r="EQ109" s="116" t="str">
        <f t="shared" si="25"/>
        <v>No</v>
      </c>
      <c r="ER109" s="112"/>
      <c r="ES109" s="123">
        <f>1+((DX109-MIN(industry_experiences))*(4)/(MAX(industry_experiences) - MIN(industry_experiences)))</f>
        <v>3.857142857</v>
      </c>
      <c r="ET109" s="123">
        <f>1+((DY109-MIN(previous_startups))*(4)/(MAX(previous_startups) - MIN(previous_startups)))</f>
        <v>1.888888889</v>
      </c>
      <c r="EU109" s="123">
        <f>1+((DZ109-MIN(exits))*(4)/(MAX(exits) - MIN(exits)))</f>
        <v>3</v>
      </c>
      <c r="EV109" s="119">
        <f t="shared" si="26"/>
        <v>8.746031746</v>
      </c>
      <c r="EW109" s="124">
        <f>1+((EV109-MIN(team_ratings_sums))*(4)/(MAX(team_ratings_sums) - MIN(team_ratings_sums)))</f>
        <v>4.147826087</v>
      </c>
      <c r="EX109" s="116" t="str">
        <f t="shared" si="27"/>
        <v>55+</v>
      </c>
      <c r="EY109" s="125">
        <f t="shared" si="28"/>
        <v>0.1095890411</v>
      </c>
      <c r="EZ109" s="116">
        <f t="shared" si="29"/>
        <v>1</v>
      </c>
      <c r="FA109" s="125">
        <f t="shared" si="30"/>
        <v>0.4383561644</v>
      </c>
      <c r="FB109" s="116">
        <f t="shared" si="31"/>
        <v>8</v>
      </c>
      <c r="FC109" s="125">
        <f t="shared" si="32"/>
        <v>0.05479452055</v>
      </c>
      <c r="FD109" s="116" t="str">
        <f t="shared" si="33"/>
        <v>No</v>
      </c>
      <c r="FE109" s="125">
        <f t="shared" si="34"/>
        <v>0.7534246575</v>
      </c>
      <c r="FF109" s="116" t="str">
        <f t="shared" ref="FF109:FH109" si="278">BJ109</f>
        <v>No</v>
      </c>
      <c r="FG109" s="116" t="str">
        <f t="shared" si="278"/>
        <v>No</v>
      </c>
      <c r="FH109" s="116" t="str">
        <f t="shared" si="278"/>
        <v>No</v>
      </c>
      <c r="FI109" s="112"/>
      <c r="FJ109" s="116" t="str">
        <f t="shared" si="36"/>
        <v>Transactional</v>
      </c>
      <c r="FK109" s="125">
        <f t="shared" si="37"/>
        <v>0.602739726</v>
      </c>
      <c r="FL109" s="116" t="str">
        <f t="shared" si="38"/>
        <v>B2C</v>
      </c>
      <c r="FM109" s="125">
        <f t="shared" si="39"/>
        <v>0.397260274</v>
      </c>
      <c r="FN109" s="116" t="str">
        <f t="shared" si="40"/>
        <v>High</v>
      </c>
      <c r="FO109" s="125">
        <f t="shared" si="41"/>
        <v>0.5616438356</v>
      </c>
      <c r="FP109" s="116" t="str">
        <f t="shared" si="42"/>
        <v>High</v>
      </c>
      <c r="FQ109" s="125">
        <f t="shared" si="43"/>
        <v>0.6438356164</v>
      </c>
      <c r="FR109" s="112"/>
      <c r="FS109" s="123">
        <f t="shared" si="44"/>
        <v>5</v>
      </c>
      <c r="FT109" s="123">
        <f t="shared" si="45"/>
        <v>3.2</v>
      </c>
      <c r="FU109" s="123">
        <f t="shared" si="46"/>
        <v>5</v>
      </c>
      <c r="FV109" s="123">
        <f t="shared" si="47"/>
        <v>1</v>
      </c>
      <c r="FW109" s="119">
        <f t="shared" si="48"/>
        <v>14.2</v>
      </c>
      <c r="FX109" s="115">
        <f>1+((FW109-MIN(performance_ratings_sums))*(4)/(MAX(performance_ratings_sums) - MIN(performance_ratings_sums)))</f>
        <v>3.803738318</v>
      </c>
      <c r="FY109" s="116" t="str">
        <f t="shared" si="49"/>
        <v>Pre-Profit</v>
      </c>
      <c r="FZ109" s="126">
        <f t="shared" si="50"/>
        <v>0.4931506849</v>
      </c>
      <c r="GA109" s="112"/>
      <c r="GB109" s="127">
        <f t="shared" si="51"/>
        <v>3</v>
      </c>
      <c r="GC109" s="116" t="str">
        <f t="shared" si="52"/>
        <v>No</v>
      </c>
      <c r="GD109" s="126">
        <f t="shared" si="53"/>
        <v>0.7671232877</v>
      </c>
      <c r="GE109" s="126" t="str">
        <f t="shared" si="54"/>
        <v>Low</v>
      </c>
      <c r="GF109" s="126">
        <f t="shared" si="55"/>
        <v>0.5479452055</v>
      </c>
      <c r="GG109" s="126" t="str">
        <f t="shared" si="56"/>
        <v>High</v>
      </c>
      <c r="GH109" s="126">
        <f t="shared" si="57"/>
        <v>0.8082191781</v>
      </c>
      <c r="GI109" s="112"/>
      <c r="GJ109" s="116"/>
      <c r="GK109" s="119">
        <f t="shared" si="58"/>
        <v>18.05682756</v>
      </c>
      <c r="GL109" s="128">
        <f>1+((GK109-MIN(ratings_sums))*(4)/(MAX(ratings_sums) - MIN(ratings_sums)))</f>
        <v>4.333152582</v>
      </c>
    </row>
    <row r="110" ht="15.75" customHeight="1">
      <c r="A110" s="176" t="s">
        <v>681</v>
      </c>
      <c r="B110" s="15">
        <v>1771389.0</v>
      </c>
      <c r="C110" s="162" t="s">
        <v>1013</v>
      </c>
      <c r="D110" s="163">
        <v>43556.60277777778</v>
      </c>
      <c r="E110" s="15" t="s">
        <v>363</v>
      </c>
      <c r="F110" s="164" t="s">
        <v>1014</v>
      </c>
      <c r="G110" s="164" t="s">
        <v>1015</v>
      </c>
      <c r="H110" s="173">
        <v>43556.0</v>
      </c>
      <c r="I110" s="162" t="s">
        <v>1016</v>
      </c>
      <c r="J110" s="162" t="s">
        <v>1013</v>
      </c>
      <c r="K110" s="15" t="s">
        <v>496</v>
      </c>
      <c r="L110" s="15" t="s">
        <v>390</v>
      </c>
      <c r="M110" s="15" t="s">
        <v>31</v>
      </c>
      <c r="N110" s="15" t="s">
        <v>32</v>
      </c>
      <c r="O110" s="15" t="s">
        <v>35</v>
      </c>
      <c r="Q110" s="15" t="s">
        <v>34</v>
      </c>
      <c r="R110" s="166"/>
      <c r="S110" s="120"/>
      <c r="T110" s="69"/>
      <c r="U110" s="121">
        <v>1600000.0</v>
      </c>
      <c r="V110" s="132">
        <v>0.0</v>
      </c>
      <c r="W110" s="96">
        <f t="shared" si="125"/>
        <v>1600000</v>
      </c>
      <c r="X110" s="98">
        <f t="shared" si="126"/>
        <v>1600000</v>
      </c>
      <c r="Y110" s="99" t="str">
        <f t="shared" si="127"/>
        <v>$1M - $2M</v>
      </c>
      <c r="Z110" s="15" t="s">
        <v>36</v>
      </c>
      <c r="AA110" s="15" t="s">
        <v>105</v>
      </c>
      <c r="AB110" s="15" t="s">
        <v>38</v>
      </c>
      <c r="AC110" s="15" t="s">
        <v>469</v>
      </c>
      <c r="AD110" s="15" t="s">
        <v>89</v>
      </c>
      <c r="AE110" s="15" t="s">
        <v>39</v>
      </c>
      <c r="AF110" s="15" t="s">
        <v>469</v>
      </c>
      <c r="AG110" s="69">
        <v>5.0E7</v>
      </c>
      <c r="AH110" s="97" t="str">
        <f t="shared" si="128"/>
        <v>$50M-$100M</v>
      </c>
      <c r="AI110" s="69">
        <v>1.5E7</v>
      </c>
      <c r="AJ110" s="97" t="str">
        <f t="shared" si="129"/>
        <v>&lt; $25M</v>
      </c>
      <c r="AK110" s="167">
        <v>0.02</v>
      </c>
      <c r="AL110" s="88" t="str">
        <f t="shared" si="130"/>
        <v>0%-10%</v>
      </c>
      <c r="AM110" s="15">
        <v>200.0</v>
      </c>
      <c r="AN110" s="15" t="s">
        <v>89</v>
      </c>
      <c r="AO110" s="15" t="s">
        <v>89</v>
      </c>
      <c r="AP110" s="15" t="s">
        <v>106</v>
      </c>
      <c r="AQ110" s="168" t="s">
        <v>89</v>
      </c>
      <c r="AR110" s="168" t="s">
        <v>39</v>
      </c>
      <c r="AS110" s="15" t="s">
        <v>469</v>
      </c>
      <c r="AT110" s="15" t="s">
        <v>469</v>
      </c>
      <c r="AU110" s="15" t="s">
        <v>469</v>
      </c>
      <c r="AV110" s="15" t="s">
        <v>469</v>
      </c>
      <c r="AW110" s="69">
        <v>0.0</v>
      </c>
      <c r="AX110" s="96" t="str">
        <f t="shared" si="131"/>
        <v>&lt; $10K</v>
      </c>
      <c r="AY110" s="69">
        <v>0.0</v>
      </c>
      <c r="AZ110" s="69">
        <v>0.0</v>
      </c>
      <c r="BA110" s="103" t="str">
        <f t="shared" si="132"/>
        <v>&lt; $10K</v>
      </c>
      <c r="BB110" s="103">
        <f t="shared" si="133"/>
        <v>1</v>
      </c>
      <c r="BC110" s="103" t="str">
        <f t="shared" si="134"/>
        <v>90% - 100%</v>
      </c>
      <c r="BD110" s="15" t="s">
        <v>41</v>
      </c>
      <c r="BF110" s="15" t="s">
        <v>469</v>
      </c>
      <c r="BG110" s="15">
        <v>0.0</v>
      </c>
      <c r="BH110" s="15">
        <v>1.0</v>
      </c>
      <c r="BI110" s="15" t="s">
        <v>469</v>
      </c>
      <c r="BJ110" s="15" t="s">
        <v>469</v>
      </c>
      <c r="BK110" s="15" t="s">
        <v>469</v>
      </c>
      <c r="BL110" s="15" t="s">
        <v>469</v>
      </c>
      <c r="BM110" s="15">
        <v>1.0</v>
      </c>
      <c r="BN110" s="15">
        <v>1.0</v>
      </c>
      <c r="BO110" s="15">
        <v>0.0</v>
      </c>
      <c r="BP110" s="15">
        <v>0.0</v>
      </c>
      <c r="BQ110" s="108"/>
      <c r="BR110" s="15">
        <v>0.0</v>
      </c>
      <c r="BS110" s="15">
        <v>0.0</v>
      </c>
      <c r="BT110" s="15">
        <v>0.0</v>
      </c>
      <c r="BU110" s="15">
        <v>60.0</v>
      </c>
      <c r="BV110" s="15" t="s">
        <v>469</v>
      </c>
      <c r="BW110" s="108"/>
      <c r="CC110" s="108"/>
      <c r="CI110" s="108"/>
      <c r="CO110" s="108"/>
      <c r="CU110" s="108"/>
      <c r="DA110" s="108"/>
      <c r="DG110" s="108"/>
      <c r="DM110" s="108"/>
      <c r="DS110" s="108"/>
      <c r="DT110" s="108"/>
      <c r="DU110" s="108"/>
      <c r="DW110" s="109"/>
      <c r="DX110" s="110">
        <f t="shared" si="13"/>
        <v>0</v>
      </c>
      <c r="DY110" s="111">
        <f t="shared" ref="DY110:DZ110" si="279">sum(BS110,BY110,CE110,CK110,CQ110,CW110,DC110,DI110,DO110)</f>
        <v>0</v>
      </c>
      <c r="DZ110" s="111">
        <f t="shared" si="279"/>
        <v>0</v>
      </c>
      <c r="EA110" s="110">
        <f t="shared" si="15"/>
        <v>60</v>
      </c>
      <c r="EB110" s="99" t="str">
        <f t="shared" si="16"/>
        <v>55+</v>
      </c>
      <c r="EC110" s="112"/>
      <c r="ED110" s="113">
        <f t="shared" si="17"/>
        <v>4.8</v>
      </c>
      <c r="EE110" s="114">
        <f>IF(V110 &lt;&gt; "", 1+((V110-MIN(discount_rates))*(4)/(MAX(discount_rates) - MIN(discount_rates))), "")</f>
        <v>1</v>
      </c>
      <c r="EF110" s="114" t="str">
        <f>IF(Q110="Debt", (1+((S110-MIN(interest_rates))*(4)/(MAX(interest_rates) - MIN(interest_rates)))), "")</f>
        <v/>
      </c>
      <c r="EG110" s="114" t="str">
        <f>IF(OR(Q110="Revenue Share", Q110="Profit Share"), (1+((R110-MIN(return_mutiples))*(4)/(MAX(return_mutiples) - MIN(return_mutiples)))), "")</f>
        <v/>
      </c>
      <c r="EH110" s="115">
        <f t="shared" si="18"/>
        <v>4.8</v>
      </c>
      <c r="EI110" s="116" t="str">
        <f t="shared" si="19"/>
        <v>CAFES</v>
      </c>
      <c r="EJ110" s="117">
        <f t="shared" si="20"/>
        <v>0.1232876712</v>
      </c>
      <c r="EK110" s="116" t="str">
        <f t="shared" si="21"/>
        <v>Early</v>
      </c>
      <c r="EL110" s="112"/>
      <c r="EM110" s="118">
        <f t="shared" si="22"/>
        <v>1</v>
      </c>
      <c r="EN110" s="118">
        <f t="shared" si="23"/>
        <v>1.7</v>
      </c>
      <c r="EO110" s="119">
        <f t="shared" si="24"/>
        <v>2.7</v>
      </c>
      <c r="EP110" s="115">
        <f>1+((EO110-MIN(market_ratings_sums))*(4)/(MAX(market_ratings_sums) - MIN(market_ratings_sums)))</f>
        <v>1</v>
      </c>
      <c r="EQ110" s="116" t="str">
        <f t="shared" si="25"/>
        <v>No</v>
      </c>
      <c r="ER110" s="112"/>
      <c r="ES110" s="123">
        <f>1+((DX110-MIN(industry_experiences))*(4)/(MAX(industry_experiences) - MIN(industry_experiences)))</f>
        <v>1</v>
      </c>
      <c r="ET110" s="123">
        <f>1+((DY110-MIN(previous_startups))*(4)/(MAX(previous_startups) - MIN(previous_startups)))</f>
        <v>1</v>
      </c>
      <c r="EU110" s="123">
        <f>1+((DZ110-MIN(exits))*(4)/(MAX(exits) - MIN(exits)))</f>
        <v>1</v>
      </c>
      <c r="EV110" s="119">
        <f t="shared" si="26"/>
        <v>3</v>
      </c>
      <c r="EW110" s="124">
        <f>1+((EV110-MIN(team_ratings_sums))*(4)/(MAX(team_ratings_sums) - MIN(team_ratings_sums)))</f>
        <v>1</v>
      </c>
      <c r="EX110" s="116" t="str">
        <f t="shared" si="27"/>
        <v>55+</v>
      </c>
      <c r="EY110" s="125">
        <f t="shared" si="28"/>
        <v>0.1095890411</v>
      </c>
      <c r="EZ110" s="116">
        <f t="shared" si="29"/>
        <v>1</v>
      </c>
      <c r="FA110" s="125">
        <f t="shared" si="30"/>
        <v>0.4383561644</v>
      </c>
      <c r="FB110" s="116">
        <f t="shared" si="31"/>
        <v>1</v>
      </c>
      <c r="FC110" s="125">
        <f t="shared" si="32"/>
        <v>0.08219178082</v>
      </c>
      <c r="FD110" s="116" t="str">
        <f t="shared" si="33"/>
        <v>No</v>
      </c>
      <c r="FE110" s="125">
        <f t="shared" si="34"/>
        <v>0.7534246575</v>
      </c>
      <c r="FF110" s="116" t="str">
        <f t="shared" ref="FF110:FH110" si="280">BJ110</f>
        <v>No</v>
      </c>
      <c r="FG110" s="116" t="str">
        <f t="shared" si="280"/>
        <v>No</v>
      </c>
      <c r="FH110" s="116" t="str">
        <f t="shared" si="280"/>
        <v>No</v>
      </c>
      <c r="FI110" s="112"/>
      <c r="FJ110" s="116" t="str">
        <f t="shared" si="36"/>
        <v>Transactional</v>
      </c>
      <c r="FK110" s="125">
        <f t="shared" si="37"/>
        <v>0.602739726</v>
      </c>
      <c r="FL110" s="116" t="str">
        <f t="shared" si="38"/>
        <v>B2B2C</v>
      </c>
      <c r="FM110" s="125">
        <f t="shared" si="39"/>
        <v>0.02739726027</v>
      </c>
      <c r="FN110" s="116" t="str">
        <f t="shared" si="40"/>
        <v>Low</v>
      </c>
      <c r="FO110" s="125">
        <f t="shared" si="41"/>
        <v>0.4383561644</v>
      </c>
      <c r="FP110" s="116" t="str">
        <f t="shared" si="42"/>
        <v>High</v>
      </c>
      <c r="FQ110" s="125">
        <f t="shared" si="43"/>
        <v>0.6438356164</v>
      </c>
      <c r="FR110" s="112"/>
      <c r="FS110" s="123">
        <f t="shared" si="44"/>
        <v>1</v>
      </c>
      <c r="FT110" s="123">
        <f t="shared" si="45"/>
        <v>1</v>
      </c>
      <c r="FU110" s="123">
        <f t="shared" si="46"/>
        <v>1</v>
      </c>
      <c r="FV110" s="123">
        <f t="shared" si="47"/>
        <v>5</v>
      </c>
      <c r="FW110" s="119">
        <f t="shared" si="48"/>
        <v>8</v>
      </c>
      <c r="FX110" s="115">
        <f>1+((FW110-MIN(performance_ratings_sums))*(4)/(MAX(performance_ratings_sums) - MIN(performance_ratings_sums)))</f>
        <v>1.485981308</v>
      </c>
      <c r="FY110" s="116" t="str">
        <f t="shared" si="49"/>
        <v>Pre-Product</v>
      </c>
      <c r="FZ110" s="126">
        <f t="shared" si="50"/>
        <v>0.2328767123</v>
      </c>
      <c r="GA110" s="112"/>
      <c r="GB110" s="127">
        <f t="shared" si="51"/>
        <v>1</v>
      </c>
      <c r="GC110" s="116" t="str">
        <f t="shared" si="52"/>
        <v>No</v>
      </c>
      <c r="GD110" s="126">
        <f t="shared" si="53"/>
        <v>0.7671232877</v>
      </c>
      <c r="GE110" s="126" t="str">
        <f t="shared" si="54"/>
        <v>Low</v>
      </c>
      <c r="GF110" s="126">
        <f t="shared" si="55"/>
        <v>0.5479452055</v>
      </c>
      <c r="GG110" s="126" t="str">
        <f t="shared" si="56"/>
        <v>High</v>
      </c>
      <c r="GH110" s="126">
        <f t="shared" si="57"/>
        <v>0.8082191781</v>
      </c>
      <c r="GI110" s="112"/>
      <c r="GJ110" s="116"/>
      <c r="GK110" s="119">
        <f t="shared" si="58"/>
        <v>9.285981308</v>
      </c>
      <c r="GL110" s="128">
        <f>1+((GK110-MIN(ratings_sums))*(4)/(MAX(ratings_sums) - MIN(ratings_sums)))</f>
        <v>1.641906403</v>
      </c>
    </row>
    <row r="111" ht="15.75" customHeight="1">
      <c r="A111" s="176" t="s">
        <v>681</v>
      </c>
      <c r="B111" s="15">
        <v>1772701.0</v>
      </c>
      <c r="C111" s="162" t="s">
        <v>1017</v>
      </c>
      <c r="D111" s="163">
        <v>43559.600694444445</v>
      </c>
      <c r="E111" s="15" t="s">
        <v>363</v>
      </c>
      <c r="F111" s="164" t="s">
        <v>1018</v>
      </c>
      <c r="G111" s="164" t="s">
        <v>1019</v>
      </c>
      <c r="H111" s="173">
        <v>43559.0</v>
      </c>
      <c r="I111" s="162" t="s">
        <v>1020</v>
      </c>
      <c r="J111" s="162" t="s">
        <v>1017</v>
      </c>
      <c r="K111" s="15" t="s">
        <v>457</v>
      </c>
      <c r="L111" s="15" t="s">
        <v>323</v>
      </c>
      <c r="M111" s="15" t="s">
        <v>31</v>
      </c>
      <c r="N111" s="15" t="s">
        <v>32</v>
      </c>
      <c r="O111" s="15" t="s">
        <v>35</v>
      </c>
      <c r="Q111" s="15" t="s">
        <v>34</v>
      </c>
      <c r="R111" s="166"/>
      <c r="S111" s="120"/>
      <c r="U111" s="69">
        <v>750000.0</v>
      </c>
      <c r="V111" s="132">
        <v>0.0</v>
      </c>
      <c r="W111" s="96">
        <f t="shared" si="125"/>
        <v>750000</v>
      </c>
      <c r="X111" s="99">
        <f t="shared" si="126"/>
        <v>750000</v>
      </c>
      <c r="Y111" s="99" t="str">
        <f t="shared" si="127"/>
        <v>&lt; $1M</v>
      </c>
      <c r="Z111" s="15" t="s">
        <v>36</v>
      </c>
      <c r="AA111" s="15" t="s">
        <v>37</v>
      </c>
      <c r="AB111" s="15" t="s">
        <v>38</v>
      </c>
      <c r="AC111" s="15" t="s">
        <v>469</v>
      </c>
      <c r="AD111" s="15" t="s">
        <v>89</v>
      </c>
      <c r="AE111" s="15" t="s">
        <v>39</v>
      </c>
      <c r="AF111" s="15" t="s">
        <v>469</v>
      </c>
      <c r="AG111" s="69">
        <v>2.5E10</v>
      </c>
      <c r="AH111" s="97" t="str">
        <f t="shared" si="128"/>
        <v>$25B-$50B</v>
      </c>
      <c r="AI111" s="69">
        <v>1.0E9</v>
      </c>
      <c r="AJ111" s="97" t="str">
        <f t="shared" si="129"/>
        <v>$1B-$5B</v>
      </c>
      <c r="AK111" s="167">
        <v>0.15</v>
      </c>
      <c r="AL111" s="88" t="str">
        <f t="shared" si="130"/>
        <v>10%-20%</v>
      </c>
      <c r="AM111" s="15">
        <v>20.0</v>
      </c>
      <c r="AN111" s="15" t="s">
        <v>89</v>
      </c>
      <c r="AO111" s="15" t="s">
        <v>89</v>
      </c>
      <c r="AP111" s="15" t="s">
        <v>40</v>
      </c>
      <c r="AQ111" s="168" t="s">
        <v>89</v>
      </c>
      <c r="AR111" s="168" t="s">
        <v>89</v>
      </c>
      <c r="AS111" s="15" t="s">
        <v>469</v>
      </c>
      <c r="AT111" s="15" t="s">
        <v>469</v>
      </c>
      <c r="AU111" s="15" t="s">
        <v>469</v>
      </c>
      <c r="AV111" s="15" t="s">
        <v>469</v>
      </c>
      <c r="AW111" s="69">
        <v>0.0</v>
      </c>
      <c r="AX111" s="96" t="str">
        <f t="shared" si="131"/>
        <v>&lt; $10K</v>
      </c>
      <c r="AY111" s="69">
        <v>0.0</v>
      </c>
      <c r="AZ111" s="69">
        <v>0.0</v>
      </c>
      <c r="BA111" s="103" t="str">
        <f t="shared" si="132"/>
        <v>&lt; $10K</v>
      </c>
      <c r="BB111" s="103">
        <f t="shared" si="133"/>
        <v>1</v>
      </c>
      <c r="BC111" s="103" t="str">
        <f t="shared" si="134"/>
        <v>90% - 100%</v>
      </c>
      <c r="BD111" s="15" t="s">
        <v>41</v>
      </c>
      <c r="BF111" s="15" t="s">
        <v>469</v>
      </c>
      <c r="BG111" s="15">
        <v>0.0</v>
      </c>
      <c r="BH111" s="15">
        <v>1.0</v>
      </c>
      <c r="BI111" s="15" t="s">
        <v>469</v>
      </c>
      <c r="BJ111" s="15" t="s">
        <v>469</v>
      </c>
      <c r="BK111" s="15" t="s">
        <v>469</v>
      </c>
      <c r="BL111" s="15" t="s">
        <v>469</v>
      </c>
      <c r="BM111" s="15">
        <v>1.0</v>
      </c>
      <c r="BN111" s="15">
        <v>1.0</v>
      </c>
      <c r="BO111" s="15">
        <v>0.0</v>
      </c>
      <c r="BP111" s="15">
        <v>0.0</v>
      </c>
      <c r="BQ111" s="108"/>
      <c r="BR111" s="15">
        <v>30.0</v>
      </c>
      <c r="BS111" s="15">
        <v>3.0</v>
      </c>
      <c r="BT111" s="15">
        <v>0.0</v>
      </c>
      <c r="BU111" s="15">
        <v>60.0</v>
      </c>
      <c r="BV111" s="15" t="s">
        <v>469</v>
      </c>
      <c r="BW111" s="108"/>
      <c r="CC111" s="108"/>
      <c r="CI111" s="108"/>
      <c r="CO111" s="108"/>
      <c r="CU111" s="108"/>
      <c r="DA111" s="108"/>
      <c r="DG111" s="108"/>
      <c r="DM111" s="108"/>
      <c r="DS111" s="108"/>
      <c r="DT111" s="108"/>
      <c r="DU111" s="108"/>
      <c r="DW111" s="109"/>
      <c r="DX111" s="110">
        <f t="shared" si="13"/>
        <v>30</v>
      </c>
      <c r="DY111" s="111">
        <f t="shared" ref="DY111:DZ111" si="281">sum(BS111,BY111,CE111,CK111,CQ111,CW111,DC111,DI111,DO111)</f>
        <v>3</v>
      </c>
      <c r="DZ111" s="111">
        <f t="shared" si="281"/>
        <v>0</v>
      </c>
      <c r="EA111" s="110">
        <f t="shared" si="15"/>
        <v>60</v>
      </c>
      <c r="EB111" s="99" t="str">
        <f t="shared" si="16"/>
        <v>55+</v>
      </c>
      <c r="EC111" s="112"/>
      <c r="ED111" s="113">
        <f t="shared" si="17"/>
        <v>5</v>
      </c>
      <c r="EE111" s="114">
        <f>IF(V111 &lt;&gt; "", 1+((V111-MIN(discount_rates))*(4)/(MAX(discount_rates) - MIN(discount_rates))), "")</f>
        <v>1</v>
      </c>
      <c r="EF111" s="114" t="str">
        <f>IF(Q111="Debt", (1+((S111-MIN(interest_rates))*(4)/(MAX(interest_rates) - MIN(interest_rates)))), "")</f>
        <v/>
      </c>
      <c r="EG111" s="114" t="str">
        <f>IF(OR(Q111="Revenue Share", Q111="Profit Share"), (1+((R111-MIN(return_mutiples))*(4)/(MAX(return_mutiples) - MIN(return_mutiples)))), "")</f>
        <v/>
      </c>
      <c r="EH111" s="115">
        <f t="shared" si="18"/>
        <v>5</v>
      </c>
      <c r="EI111" s="116" t="str">
        <f t="shared" si="19"/>
        <v>CAFES</v>
      </c>
      <c r="EJ111" s="117">
        <f t="shared" si="20"/>
        <v>0.1232876712</v>
      </c>
      <c r="EK111" s="116" t="str">
        <f t="shared" si="21"/>
        <v>Early</v>
      </c>
      <c r="EL111" s="112"/>
      <c r="EM111" s="118">
        <f t="shared" si="22"/>
        <v>2.7</v>
      </c>
      <c r="EN111" s="118">
        <f t="shared" si="23"/>
        <v>2.3</v>
      </c>
      <c r="EO111" s="119">
        <f t="shared" si="24"/>
        <v>5</v>
      </c>
      <c r="EP111" s="115">
        <f>1+((EO111-MIN(market_ratings_sums))*(4)/(MAX(market_ratings_sums) - MIN(market_ratings_sums)))</f>
        <v>2.614035088</v>
      </c>
      <c r="EQ111" s="116" t="str">
        <f t="shared" si="25"/>
        <v>No</v>
      </c>
      <c r="ER111" s="112"/>
      <c r="ES111" s="123">
        <f>1+((DX111-MIN(industry_experiences))*(4)/(MAX(industry_experiences) - MIN(industry_experiences)))</f>
        <v>3.857142857</v>
      </c>
      <c r="ET111" s="123">
        <f>1+((DY111-MIN(previous_startups))*(4)/(MAX(previous_startups) - MIN(previous_startups)))</f>
        <v>2.333333333</v>
      </c>
      <c r="EU111" s="123">
        <f>1+((DZ111-MIN(exits))*(4)/(MAX(exits) - MIN(exits)))</f>
        <v>1</v>
      </c>
      <c r="EV111" s="119">
        <f t="shared" si="26"/>
        <v>7.19047619</v>
      </c>
      <c r="EW111" s="124">
        <f>1+((EV111-MIN(team_ratings_sums))*(4)/(MAX(team_ratings_sums) - MIN(team_ratings_sums)))</f>
        <v>3.295652174</v>
      </c>
      <c r="EX111" s="116" t="str">
        <f t="shared" si="27"/>
        <v>55+</v>
      </c>
      <c r="EY111" s="125">
        <f t="shared" si="28"/>
        <v>0.1095890411</v>
      </c>
      <c r="EZ111" s="116">
        <f t="shared" si="29"/>
        <v>1</v>
      </c>
      <c r="FA111" s="125">
        <f t="shared" si="30"/>
        <v>0.4383561644</v>
      </c>
      <c r="FB111" s="116">
        <f t="shared" si="31"/>
        <v>1</v>
      </c>
      <c r="FC111" s="125">
        <f t="shared" si="32"/>
        <v>0.08219178082</v>
      </c>
      <c r="FD111" s="116" t="str">
        <f t="shared" si="33"/>
        <v>No</v>
      </c>
      <c r="FE111" s="125">
        <f t="shared" si="34"/>
        <v>0.7534246575</v>
      </c>
      <c r="FF111" s="116" t="str">
        <f t="shared" ref="FF111:FH111" si="282">BJ111</f>
        <v>No</v>
      </c>
      <c r="FG111" s="116" t="str">
        <f t="shared" si="282"/>
        <v>No</v>
      </c>
      <c r="FH111" s="116" t="str">
        <f t="shared" si="282"/>
        <v>No</v>
      </c>
      <c r="FI111" s="112"/>
      <c r="FJ111" s="116" t="str">
        <f t="shared" si="36"/>
        <v>Transactional</v>
      </c>
      <c r="FK111" s="125">
        <f t="shared" si="37"/>
        <v>0.602739726</v>
      </c>
      <c r="FL111" s="116" t="str">
        <f t="shared" si="38"/>
        <v>B2B</v>
      </c>
      <c r="FM111" s="125">
        <f t="shared" si="39"/>
        <v>0.2465753425</v>
      </c>
      <c r="FN111" s="116" t="str">
        <f t="shared" si="40"/>
        <v>Low</v>
      </c>
      <c r="FO111" s="125">
        <f t="shared" si="41"/>
        <v>0.4383561644</v>
      </c>
      <c r="FP111" s="116" t="str">
        <f t="shared" si="42"/>
        <v>High</v>
      </c>
      <c r="FQ111" s="125">
        <f t="shared" si="43"/>
        <v>0.6438356164</v>
      </c>
      <c r="FR111" s="112"/>
      <c r="FS111" s="123">
        <f t="shared" si="44"/>
        <v>1</v>
      </c>
      <c r="FT111" s="123">
        <f t="shared" si="45"/>
        <v>1</v>
      </c>
      <c r="FU111" s="123">
        <f t="shared" si="46"/>
        <v>1</v>
      </c>
      <c r="FV111" s="123">
        <f t="shared" si="47"/>
        <v>5</v>
      </c>
      <c r="FW111" s="119">
        <f t="shared" si="48"/>
        <v>8</v>
      </c>
      <c r="FX111" s="115">
        <f>1+((FW111-MIN(performance_ratings_sums))*(4)/(MAX(performance_ratings_sums) - MIN(performance_ratings_sums)))</f>
        <v>1.485981308</v>
      </c>
      <c r="FY111" s="116" t="str">
        <f t="shared" si="49"/>
        <v>Pre-Product</v>
      </c>
      <c r="FZ111" s="126">
        <f t="shared" si="50"/>
        <v>0.2328767123</v>
      </c>
      <c r="GA111" s="112"/>
      <c r="GB111" s="127">
        <f t="shared" si="51"/>
        <v>1</v>
      </c>
      <c r="GC111" s="116" t="str">
        <f t="shared" si="52"/>
        <v>No</v>
      </c>
      <c r="GD111" s="126">
        <f t="shared" si="53"/>
        <v>0.7671232877</v>
      </c>
      <c r="GE111" s="126" t="str">
        <f t="shared" si="54"/>
        <v>Low</v>
      </c>
      <c r="GF111" s="126">
        <f t="shared" si="55"/>
        <v>0.5479452055</v>
      </c>
      <c r="GG111" s="126" t="str">
        <f t="shared" si="56"/>
        <v>Low</v>
      </c>
      <c r="GH111" s="126">
        <f t="shared" si="57"/>
        <v>0.1917808219</v>
      </c>
      <c r="GI111" s="112"/>
      <c r="GJ111" s="116"/>
      <c r="GK111" s="119">
        <f t="shared" si="58"/>
        <v>13.39566857</v>
      </c>
      <c r="GL111" s="128">
        <f>1+((GK111-MIN(ratings_sums))*(4)/(MAX(ratings_sums) - MIN(ratings_sums)))</f>
        <v>2.902922709</v>
      </c>
    </row>
    <row r="112" ht="15.75" customHeight="1">
      <c r="A112" s="176" t="s">
        <v>681</v>
      </c>
      <c r="B112" s="15">
        <v>1796364.0</v>
      </c>
      <c r="C112" s="162" t="s">
        <v>1021</v>
      </c>
      <c r="D112" s="163">
        <v>43836.48472222222</v>
      </c>
      <c r="E112" s="15" t="s">
        <v>392</v>
      </c>
      <c r="F112" s="164" t="s">
        <v>1022</v>
      </c>
      <c r="G112" s="164" t="s">
        <v>1023</v>
      </c>
      <c r="H112" s="173">
        <v>43818.0</v>
      </c>
      <c r="I112" s="162" t="s">
        <v>1024</v>
      </c>
      <c r="J112" s="162" t="s">
        <v>1025</v>
      </c>
      <c r="K112" s="15" t="s">
        <v>527</v>
      </c>
      <c r="L112" s="15" t="s">
        <v>117</v>
      </c>
      <c r="M112" s="15" t="s">
        <v>31</v>
      </c>
      <c r="N112" s="15" t="s">
        <v>32</v>
      </c>
      <c r="O112" s="15" t="s">
        <v>35</v>
      </c>
      <c r="Q112" s="15" t="s">
        <v>84</v>
      </c>
      <c r="R112" s="166"/>
      <c r="S112" s="120"/>
      <c r="T112" s="69"/>
      <c r="U112" s="69">
        <v>4500000.0</v>
      </c>
      <c r="V112" s="132">
        <v>0.2</v>
      </c>
      <c r="W112" s="96">
        <f t="shared" si="125"/>
        <v>3600000</v>
      </c>
      <c r="X112" s="98">
        <f t="shared" si="126"/>
        <v>3600000</v>
      </c>
      <c r="Y112" s="99" t="str">
        <f t="shared" si="127"/>
        <v>$2M - $4M</v>
      </c>
      <c r="Z112" s="15" t="s">
        <v>86</v>
      </c>
      <c r="AA112" s="15" t="s">
        <v>87</v>
      </c>
      <c r="AB112" s="15" t="s">
        <v>38</v>
      </c>
      <c r="AC112" s="15" t="s">
        <v>469</v>
      </c>
      <c r="AD112" s="15" t="s">
        <v>89</v>
      </c>
      <c r="AE112" s="15" t="s">
        <v>39</v>
      </c>
      <c r="AF112" s="15" t="s">
        <v>469</v>
      </c>
      <c r="AG112" s="69">
        <v>2.5E10</v>
      </c>
      <c r="AH112" s="97" t="str">
        <f t="shared" si="128"/>
        <v>$25B-$50B</v>
      </c>
      <c r="AI112" s="69">
        <v>1.0E9</v>
      </c>
      <c r="AJ112" s="97" t="str">
        <f t="shared" si="129"/>
        <v>$1B-$5B</v>
      </c>
      <c r="AK112" s="167">
        <v>0.3</v>
      </c>
      <c r="AL112" s="88" t="str">
        <f t="shared" si="130"/>
        <v>20%-30%</v>
      </c>
      <c r="AM112" s="15">
        <v>10.0</v>
      </c>
      <c r="AN112" s="15" t="s">
        <v>89</v>
      </c>
      <c r="AO112" s="15" t="s">
        <v>39</v>
      </c>
      <c r="AP112" s="15" t="s">
        <v>90</v>
      </c>
      <c r="AQ112" s="168" t="s">
        <v>89</v>
      </c>
      <c r="AR112" s="168" t="s">
        <v>39</v>
      </c>
      <c r="AS112" s="15" t="s">
        <v>493</v>
      </c>
      <c r="AT112" s="15" t="s">
        <v>469</v>
      </c>
      <c r="AU112" s="15" t="s">
        <v>493</v>
      </c>
      <c r="AV112" s="15" t="s">
        <v>493</v>
      </c>
      <c r="AW112" s="69">
        <v>21045.0</v>
      </c>
      <c r="AX112" s="96" t="str">
        <f t="shared" si="131"/>
        <v>$10K - $50K</v>
      </c>
      <c r="AY112" s="69">
        <v>2552.0</v>
      </c>
      <c r="AZ112" s="69">
        <v>40000.0</v>
      </c>
      <c r="BA112" s="103" t="str">
        <f t="shared" si="132"/>
        <v>$10K - $50K</v>
      </c>
      <c r="BB112" s="103">
        <f t="shared" si="133"/>
        <v>0.0638</v>
      </c>
      <c r="BC112" s="103" t="str">
        <f t="shared" si="134"/>
        <v>&lt; 10%</v>
      </c>
      <c r="BD112" s="15" t="s">
        <v>107</v>
      </c>
      <c r="BF112" s="15" t="s">
        <v>469</v>
      </c>
      <c r="BG112" s="15">
        <v>0.0</v>
      </c>
      <c r="BH112" s="15">
        <v>2.0</v>
      </c>
      <c r="BI112" s="15" t="s">
        <v>493</v>
      </c>
      <c r="BJ112" s="15" t="s">
        <v>469</v>
      </c>
      <c r="BK112" s="15" t="s">
        <v>493</v>
      </c>
      <c r="BL112" s="15" t="s">
        <v>469</v>
      </c>
      <c r="BM112" s="15">
        <v>4.0</v>
      </c>
      <c r="BN112" s="15">
        <v>5.0</v>
      </c>
      <c r="BO112" s="15">
        <v>0.0</v>
      </c>
      <c r="BP112" s="15">
        <v>0.0</v>
      </c>
      <c r="BQ112" s="108"/>
      <c r="BR112" s="15">
        <v>2.0</v>
      </c>
      <c r="BS112" s="15">
        <v>0.0</v>
      </c>
      <c r="BT112" s="15">
        <v>0.0</v>
      </c>
      <c r="BU112" s="15">
        <v>30.0</v>
      </c>
      <c r="BV112" s="15" t="s">
        <v>469</v>
      </c>
      <c r="BW112" s="108"/>
      <c r="BX112" s="15">
        <v>2.0</v>
      </c>
      <c r="BY112" s="15">
        <v>0.0</v>
      </c>
      <c r="BZ112" s="15">
        <v>0.0</v>
      </c>
      <c r="CA112" s="15">
        <v>33.0</v>
      </c>
      <c r="CB112" s="15" t="s">
        <v>469</v>
      </c>
      <c r="CC112" s="108"/>
      <c r="CI112" s="108"/>
      <c r="CO112" s="108"/>
      <c r="CU112" s="108"/>
      <c r="DA112" s="108"/>
      <c r="DG112" s="108"/>
      <c r="DM112" s="108"/>
      <c r="DS112" s="108"/>
      <c r="DT112" s="108"/>
      <c r="DU112" s="108"/>
      <c r="DW112" s="109"/>
      <c r="DX112" s="110">
        <f t="shared" si="13"/>
        <v>2</v>
      </c>
      <c r="DY112" s="111">
        <f t="shared" ref="DY112:DZ112" si="283">sum(BS112,BY112,CE112,CK112,CQ112,CW112,DC112,DI112,DO112)</f>
        <v>0</v>
      </c>
      <c r="DZ112" s="111">
        <f t="shared" si="283"/>
        <v>0</v>
      </c>
      <c r="EA112" s="110">
        <f t="shared" si="15"/>
        <v>31.5</v>
      </c>
      <c r="EB112" s="99" t="str">
        <f t="shared" si="16"/>
        <v>20 - 34</v>
      </c>
      <c r="EC112" s="112"/>
      <c r="ED112" s="113">
        <f t="shared" si="17"/>
        <v>4.6</v>
      </c>
      <c r="EE112" s="114">
        <f>IF(V112 &lt;&gt; "", 1+((V112-MIN(discount_rates))*(4)/(MAX(discount_rates) - MIN(discount_rates))), "")</f>
        <v>3.105263158</v>
      </c>
      <c r="EF112" s="114" t="str">
        <f>IF(Q112="Debt", (1+((S112-MIN(interest_rates))*(4)/(MAX(interest_rates) - MIN(interest_rates)))), "")</f>
        <v/>
      </c>
      <c r="EG112" s="114" t="str">
        <f>IF(OR(Q112="Revenue Share", Q112="Profit Share"), (1+((R112-MIN(return_mutiples))*(4)/(MAX(return_mutiples) - MIN(return_mutiples)))), "")</f>
        <v/>
      </c>
      <c r="EH112" s="115">
        <f t="shared" si="18"/>
        <v>4.6</v>
      </c>
      <c r="EI112" s="116" t="str">
        <f t="shared" si="19"/>
        <v>Convertible Note</v>
      </c>
      <c r="EJ112" s="117">
        <f t="shared" si="20"/>
        <v>0.1232876712</v>
      </c>
      <c r="EK112" s="116" t="str">
        <f t="shared" si="21"/>
        <v>Early</v>
      </c>
      <c r="EL112" s="112"/>
      <c r="EM112" s="118">
        <f t="shared" si="22"/>
        <v>2.7</v>
      </c>
      <c r="EN112" s="118">
        <f t="shared" si="23"/>
        <v>3</v>
      </c>
      <c r="EO112" s="119">
        <f t="shared" si="24"/>
        <v>5.7</v>
      </c>
      <c r="EP112" s="115">
        <f>1+((EO112-MIN(market_ratings_sums))*(4)/(MAX(market_ratings_sums) - MIN(market_ratings_sums)))</f>
        <v>3.105263158</v>
      </c>
      <c r="EQ112" s="116" t="str">
        <f t="shared" si="25"/>
        <v>Yes</v>
      </c>
      <c r="ER112" s="112"/>
      <c r="ES112" s="123">
        <f>1+((DX112-MIN(industry_experiences))*(4)/(MAX(industry_experiences) - MIN(industry_experiences)))</f>
        <v>1.19047619</v>
      </c>
      <c r="ET112" s="123">
        <f>1+((DY112-MIN(previous_startups))*(4)/(MAX(previous_startups) - MIN(previous_startups)))</f>
        <v>1</v>
      </c>
      <c r="EU112" s="123">
        <f>1+((DZ112-MIN(exits))*(4)/(MAX(exits) - MIN(exits)))</f>
        <v>1</v>
      </c>
      <c r="EV112" s="119">
        <f t="shared" si="26"/>
        <v>3.19047619</v>
      </c>
      <c r="EW112" s="124">
        <f>1+((EV112-MIN(team_ratings_sums))*(4)/(MAX(team_ratings_sums) - MIN(team_ratings_sums)))</f>
        <v>1.104347826</v>
      </c>
      <c r="EX112" s="116" t="str">
        <f t="shared" si="27"/>
        <v>20 - 34</v>
      </c>
      <c r="EY112" s="125">
        <f t="shared" si="28"/>
        <v>0.2054794521</v>
      </c>
      <c r="EZ112" s="116">
        <f t="shared" si="29"/>
        <v>2</v>
      </c>
      <c r="FA112" s="125">
        <f t="shared" si="30"/>
        <v>0.4520547945</v>
      </c>
      <c r="FB112" s="116">
        <f t="shared" si="31"/>
        <v>5</v>
      </c>
      <c r="FC112" s="125">
        <f t="shared" si="32"/>
        <v>0.1369863014</v>
      </c>
      <c r="FD112" s="116" t="str">
        <f t="shared" si="33"/>
        <v>Yes</v>
      </c>
      <c r="FE112" s="125">
        <f t="shared" si="34"/>
        <v>0.2465753425</v>
      </c>
      <c r="FF112" s="116" t="str">
        <f t="shared" ref="FF112:FH112" si="284">BJ112</f>
        <v>No</v>
      </c>
      <c r="FG112" s="116" t="str">
        <f t="shared" si="284"/>
        <v>Yes</v>
      </c>
      <c r="FH112" s="116" t="str">
        <f t="shared" si="284"/>
        <v>No</v>
      </c>
      <c r="FI112" s="112"/>
      <c r="FJ112" s="116" t="str">
        <f t="shared" si="36"/>
        <v>Recurring</v>
      </c>
      <c r="FK112" s="125">
        <f t="shared" si="37"/>
        <v>0.397260274</v>
      </c>
      <c r="FL112" s="116" t="str">
        <f t="shared" si="38"/>
        <v>B2C</v>
      </c>
      <c r="FM112" s="125">
        <f t="shared" si="39"/>
        <v>0.397260274</v>
      </c>
      <c r="FN112" s="116" t="str">
        <f t="shared" si="40"/>
        <v>Low</v>
      </c>
      <c r="FO112" s="125">
        <f t="shared" si="41"/>
        <v>0.4383561644</v>
      </c>
      <c r="FP112" s="116" t="str">
        <f t="shared" si="42"/>
        <v>High</v>
      </c>
      <c r="FQ112" s="125">
        <f t="shared" si="43"/>
        <v>0.6438356164</v>
      </c>
      <c r="FR112" s="112"/>
      <c r="FS112" s="123">
        <f t="shared" si="44"/>
        <v>5</v>
      </c>
      <c r="FT112" s="123">
        <f t="shared" si="45"/>
        <v>1.4</v>
      </c>
      <c r="FU112" s="123">
        <f t="shared" si="46"/>
        <v>5</v>
      </c>
      <c r="FV112" s="123">
        <f t="shared" si="47"/>
        <v>4.6</v>
      </c>
      <c r="FW112" s="119">
        <f t="shared" si="48"/>
        <v>16</v>
      </c>
      <c r="FX112" s="115">
        <f>1+((FW112-MIN(performance_ratings_sums))*(4)/(MAX(performance_ratings_sums) - MIN(performance_ratings_sums)))</f>
        <v>4.476635514</v>
      </c>
      <c r="FY112" s="116" t="str">
        <f t="shared" si="49"/>
        <v>Pre-Profit</v>
      </c>
      <c r="FZ112" s="126">
        <f t="shared" si="50"/>
        <v>0.4931506849</v>
      </c>
      <c r="GA112" s="112"/>
      <c r="GB112" s="127">
        <f t="shared" si="51"/>
        <v>3</v>
      </c>
      <c r="GC112" s="116" t="str">
        <f t="shared" si="52"/>
        <v>No</v>
      </c>
      <c r="GD112" s="126">
        <f t="shared" si="53"/>
        <v>0.7671232877</v>
      </c>
      <c r="GE112" s="126" t="str">
        <f t="shared" si="54"/>
        <v>Low</v>
      </c>
      <c r="GF112" s="126">
        <f t="shared" si="55"/>
        <v>0.5479452055</v>
      </c>
      <c r="GG112" s="126" t="str">
        <f t="shared" si="56"/>
        <v>High</v>
      </c>
      <c r="GH112" s="126">
        <f t="shared" si="57"/>
        <v>0.8082191781</v>
      </c>
      <c r="GI112" s="112"/>
      <c r="GJ112" s="116"/>
      <c r="GK112" s="119">
        <f t="shared" si="58"/>
        <v>16.2862465</v>
      </c>
      <c r="GL112" s="128">
        <f>1+((GK112-MIN(ratings_sums))*(4)/(MAX(ratings_sums) - MIN(ratings_sums)))</f>
        <v>3.789867546</v>
      </c>
    </row>
    <row r="113" ht="15.75" customHeight="1">
      <c r="A113" s="161" t="s">
        <v>681</v>
      </c>
      <c r="B113" s="15">
        <v>1707572.0</v>
      </c>
      <c r="C113" s="162" t="s">
        <v>1026</v>
      </c>
      <c r="D113" s="163">
        <v>43836.4875</v>
      </c>
      <c r="E113" s="15" t="s">
        <v>392</v>
      </c>
      <c r="F113" s="164" t="s">
        <v>1027</v>
      </c>
      <c r="G113" s="164" t="s">
        <v>1028</v>
      </c>
      <c r="H113" s="173">
        <v>43818.0</v>
      </c>
      <c r="I113" s="162" t="s">
        <v>1026</v>
      </c>
      <c r="J113" s="162" t="s">
        <v>1029</v>
      </c>
      <c r="K113" s="15" t="s">
        <v>529</v>
      </c>
      <c r="L113" s="15" t="s">
        <v>264</v>
      </c>
      <c r="M113" s="15" t="s">
        <v>31</v>
      </c>
      <c r="N113" s="15" t="s">
        <v>82</v>
      </c>
      <c r="O113" s="15" t="s">
        <v>35</v>
      </c>
      <c r="Q113" s="15" t="s">
        <v>195</v>
      </c>
      <c r="R113" s="166"/>
      <c r="S113" s="120"/>
      <c r="T113" s="69"/>
      <c r="U113" s="69">
        <v>1.0E7</v>
      </c>
      <c r="V113" s="132">
        <v>0.2</v>
      </c>
      <c r="W113" s="96">
        <f t="shared" si="125"/>
        <v>8000000</v>
      </c>
      <c r="X113" s="98">
        <f t="shared" si="126"/>
        <v>8000000</v>
      </c>
      <c r="Y113" s="99" t="str">
        <f t="shared" si="127"/>
        <v>$6M - $8M</v>
      </c>
      <c r="Z113" s="15" t="s">
        <v>86</v>
      </c>
      <c r="AA113" s="15" t="s">
        <v>87</v>
      </c>
      <c r="AB113" s="15" t="s">
        <v>88</v>
      </c>
      <c r="AC113" s="15" t="s">
        <v>493</v>
      </c>
      <c r="AD113" s="15" t="s">
        <v>39</v>
      </c>
      <c r="AE113" s="15" t="s">
        <v>89</v>
      </c>
      <c r="AF113" s="15" t="s">
        <v>469</v>
      </c>
      <c r="AG113" s="69">
        <v>1.0E11</v>
      </c>
      <c r="AH113" s="97" t="str">
        <f t="shared" si="128"/>
        <v>$100B-$250B</v>
      </c>
      <c r="AI113" s="69">
        <v>2.0E8</v>
      </c>
      <c r="AJ113" s="97" t="str">
        <f t="shared" si="129"/>
        <v>$100M-$250M</v>
      </c>
      <c r="AK113" s="167">
        <v>0.03</v>
      </c>
      <c r="AL113" s="88" t="str">
        <f t="shared" si="130"/>
        <v>0%-10%</v>
      </c>
      <c r="AM113" s="15">
        <v>5.0</v>
      </c>
      <c r="AN113" s="15" t="s">
        <v>39</v>
      </c>
      <c r="AO113" s="15" t="s">
        <v>89</v>
      </c>
      <c r="AP113" s="15" t="s">
        <v>90</v>
      </c>
      <c r="AQ113" s="168" t="s">
        <v>89</v>
      </c>
      <c r="AR113" s="168" t="s">
        <v>39</v>
      </c>
      <c r="AS113" s="15" t="s">
        <v>469</v>
      </c>
      <c r="AT113" s="15" t="s">
        <v>469</v>
      </c>
      <c r="AU113" s="15" t="s">
        <v>493</v>
      </c>
      <c r="AV113" s="15" t="s">
        <v>493</v>
      </c>
      <c r="AW113" s="69">
        <v>9301.0</v>
      </c>
      <c r="AX113" s="96" t="str">
        <f t="shared" si="131"/>
        <v>&lt; $10K</v>
      </c>
      <c r="AY113" s="69">
        <v>13464.0</v>
      </c>
      <c r="AZ113" s="69">
        <v>675789.0</v>
      </c>
      <c r="BA113" s="103" t="str">
        <f t="shared" si="132"/>
        <v>$500K - $1M</v>
      </c>
      <c r="BB113" s="103">
        <f t="shared" si="133"/>
        <v>0.01992337845</v>
      </c>
      <c r="BC113" s="103" t="str">
        <f t="shared" si="134"/>
        <v>&lt; 10%</v>
      </c>
      <c r="BD113" s="15" t="s">
        <v>107</v>
      </c>
      <c r="BF113" s="15" t="s">
        <v>469</v>
      </c>
      <c r="BG113" s="15">
        <v>0.0</v>
      </c>
      <c r="BH113" s="15">
        <v>2.0</v>
      </c>
      <c r="BI113" s="15" t="s">
        <v>469</v>
      </c>
      <c r="BJ113" s="15" t="s">
        <v>469</v>
      </c>
      <c r="BK113" s="15" t="s">
        <v>493</v>
      </c>
      <c r="BL113" s="15" t="s">
        <v>469</v>
      </c>
      <c r="BM113" s="15">
        <v>4.0</v>
      </c>
      <c r="BN113" s="15">
        <v>4.0</v>
      </c>
      <c r="BO113" s="15">
        <v>0.0</v>
      </c>
      <c r="BP113" s="15">
        <v>0.0</v>
      </c>
      <c r="BQ113" s="108"/>
      <c r="BR113" s="15">
        <v>20.0</v>
      </c>
      <c r="BS113" s="15">
        <v>0.0</v>
      </c>
      <c r="BT113" s="15">
        <v>0.0</v>
      </c>
      <c r="BU113" s="15">
        <v>52.0</v>
      </c>
      <c r="BV113" s="15" t="s">
        <v>493</v>
      </c>
      <c r="BW113" s="108"/>
      <c r="BX113" s="15">
        <v>20.0</v>
      </c>
      <c r="BY113" s="15">
        <v>0.0</v>
      </c>
      <c r="BZ113" s="15">
        <v>0.0</v>
      </c>
      <c r="CA113" s="15">
        <v>48.0</v>
      </c>
      <c r="CB113" s="15" t="s">
        <v>493</v>
      </c>
      <c r="CC113" s="108"/>
      <c r="CI113" s="108"/>
      <c r="CO113" s="108"/>
      <c r="CU113" s="108"/>
      <c r="DA113" s="108"/>
      <c r="DG113" s="108"/>
      <c r="DM113" s="108"/>
      <c r="DS113" s="108"/>
      <c r="DT113" s="108"/>
      <c r="DU113" s="108"/>
      <c r="DW113" s="109"/>
      <c r="DX113" s="110">
        <f t="shared" si="13"/>
        <v>20</v>
      </c>
      <c r="DY113" s="111">
        <f t="shared" ref="DY113:DZ113" si="285">sum(BS113,BY113,CE113,CK113,CQ113,CW113,DC113,DI113,DO113)</f>
        <v>0</v>
      </c>
      <c r="DZ113" s="111">
        <f t="shared" si="285"/>
        <v>0</v>
      </c>
      <c r="EA113" s="110">
        <f t="shared" si="15"/>
        <v>50</v>
      </c>
      <c r="EB113" s="99" t="str">
        <f t="shared" si="16"/>
        <v>35 - 54</v>
      </c>
      <c r="EC113" s="112"/>
      <c r="ED113" s="113">
        <f t="shared" si="17"/>
        <v>4.2</v>
      </c>
      <c r="EE113" s="114">
        <f>IF(V113 &lt;&gt; "", 1+((V113-MIN(discount_rates))*(4)/(MAX(discount_rates) - MIN(discount_rates))), "")</f>
        <v>3.105263158</v>
      </c>
      <c r="EF113" s="114" t="str">
        <f>IF(Q113="Debt", (1+((S113-MIN(interest_rates))*(4)/(MAX(interest_rates) - MIN(interest_rates)))), "")</f>
        <v/>
      </c>
      <c r="EG113" s="114" t="str">
        <f>IF(OR(Q113="Revenue Share", Q113="Profit Share"), (1+((R113-MIN(return_mutiples))*(4)/(MAX(return_mutiples) - MIN(return_mutiples)))), "")</f>
        <v/>
      </c>
      <c r="EH113" s="115">
        <f t="shared" si="18"/>
        <v>4.2</v>
      </c>
      <c r="EI113" s="116" t="str">
        <f t="shared" si="19"/>
        <v>SAFE</v>
      </c>
      <c r="EJ113" s="117">
        <f t="shared" si="20"/>
        <v>0.3561643836</v>
      </c>
      <c r="EK113" s="116" t="str">
        <f t="shared" si="21"/>
        <v>Early</v>
      </c>
      <c r="EL113" s="112"/>
      <c r="EM113" s="118">
        <f t="shared" si="22"/>
        <v>1.9</v>
      </c>
      <c r="EN113" s="118">
        <f t="shared" si="23"/>
        <v>1.7</v>
      </c>
      <c r="EO113" s="119">
        <f t="shared" si="24"/>
        <v>3.6</v>
      </c>
      <c r="EP113" s="115">
        <f>1+((EO113-MIN(market_ratings_sums))*(4)/(MAX(market_ratings_sums) - MIN(market_ratings_sums)))</f>
        <v>1.631578947</v>
      </c>
      <c r="EQ113" s="116" t="str">
        <f t="shared" si="25"/>
        <v>No</v>
      </c>
      <c r="ER113" s="112"/>
      <c r="ES113" s="123">
        <f>1+((DX113-MIN(industry_experiences))*(4)/(MAX(industry_experiences) - MIN(industry_experiences)))</f>
        <v>2.904761905</v>
      </c>
      <c r="ET113" s="123">
        <f>1+((DY113-MIN(previous_startups))*(4)/(MAX(previous_startups) - MIN(previous_startups)))</f>
        <v>1</v>
      </c>
      <c r="EU113" s="123">
        <f>1+((DZ113-MIN(exits))*(4)/(MAX(exits) - MIN(exits)))</f>
        <v>1</v>
      </c>
      <c r="EV113" s="119">
        <f t="shared" si="26"/>
        <v>4.904761905</v>
      </c>
      <c r="EW113" s="124">
        <f>1+((EV113-MIN(team_ratings_sums))*(4)/(MAX(team_ratings_sums) - MIN(team_ratings_sums)))</f>
        <v>2.043478261</v>
      </c>
      <c r="EX113" s="116" t="str">
        <f t="shared" si="27"/>
        <v>35 - 54</v>
      </c>
      <c r="EY113" s="125">
        <f t="shared" si="28"/>
        <v>0.6849315068</v>
      </c>
      <c r="EZ113" s="116">
        <f t="shared" si="29"/>
        <v>2</v>
      </c>
      <c r="FA113" s="125">
        <f t="shared" si="30"/>
        <v>0.4520547945</v>
      </c>
      <c r="FB113" s="116">
        <f t="shared" si="31"/>
        <v>4</v>
      </c>
      <c r="FC113" s="125">
        <f t="shared" si="32"/>
        <v>0.1369863014</v>
      </c>
      <c r="FD113" s="116" t="str">
        <f t="shared" si="33"/>
        <v>No</v>
      </c>
      <c r="FE113" s="125">
        <f t="shared" si="34"/>
        <v>0.7534246575</v>
      </c>
      <c r="FF113" s="116" t="str">
        <f t="shared" ref="FF113:FH113" si="286">BJ113</f>
        <v>No</v>
      </c>
      <c r="FG113" s="116" t="str">
        <f t="shared" si="286"/>
        <v>Yes</v>
      </c>
      <c r="FH113" s="116" t="str">
        <f t="shared" si="286"/>
        <v>No</v>
      </c>
      <c r="FI113" s="112"/>
      <c r="FJ113" s="116" t="str">
        <f t="shared" si="36"/>
        <v>Recurring</v>
      </c>
      <c r="FK113" s="125">
        <f t="shared" si="37"/>
        <v>0.397260274</v>
      </c>
      <c r="FL113" s="116" t="str">
        <f t="shared" si="38"/>
        <v>B2C</v>
      </c>
      <c r="FM113" s="125">
        <f t="shared" si="39"/>
        <v>0.397260274</v>
      </c>
      <c r="FN113" s="116" t="str">
        <f t="shared" si="40"/>
        <v>High</v>
      </c>
      <c r="FO113" s="125">
        <f t="shared" si="41"/>
        <v>0.5616438356</v>
      </c>
      <c r="FP113" s="116" t="str">
        <f t="shared" si="42"/>
        <v>Low</v>
      </c>
      <c r="FQ113" s="125">
        <f t="shared" si="43"/>
        <v>0.3561643836</v>
      </c>
      <c r="FR113" s="112"/>
      <c r="FS113" s="123">
        <f t="shared" si="44"/>
        <v>5</v>
      </c>
      <c r="FT113" s="123">
        <f t="shared" si="45"/>
        <v>1</v>
      </c>
      <c r="FU113" s="123">
        <f t="shared" si="46"/>
        <v>5</v>
      </c>
      <c r="FV113" s="123">
        <f t="shared" si="47"/>
        <v>3.2</v>
      </c>
      <c r="FW113" s="119">
        <f t="shared" si="48"/>
        <v>14.2</v>
      </c>
      <c r="FX113" s="115">
        <f>1+((FW113-MIN(performance_ratings_sums))*(4)/(MAX(performance_ratings_sums) - MIN(performance_ratings_sums)))</f>
        <v>3.803738318</v>
      </c>
      <c r="FY113" s="116" t="str">
        <f t="shared" si="49"/>
        <v>Pre-Profit</v>
      </c>
      <c r="FZ113" s="126">
        <f t="shared" si="50"/>
        <v>0.4931506849</v>
      </c>
      <c r="GA113" s="112"/>
      <c r="GB113" s="127">
        <f t="shared" si="51"/>
        <v>3</v>
      </c>
      <c r="GC113" s="116" t="str">
        <f t="shared" si="52"/>
        <v>No</v>
      </c>
      <c r="GD113" s="126">
        <f t="shared" si="53"/>
        <v>0.7671232877</v>
      </c>
      <c r="GE113" s="126" t="str">
        <f t="shared" si="54"/>
        <v>Low</v>
      </c>
      <c r="GF113" s="126">
        <f t="shared" si="55"/>
        <v>0.5479452055</v>
      </c>
      <c r="GG113" s="126" t="str">
        <f t="shared" si="56"/>
        <v>High</v>
      </c>
      <c r="GH113" s="126">
        <f t="shared" si="57"/>
        <v>0.8082191781</v>
      </c>
      <c r="GI113" s="112"/>
      <c r="GJ113" s="116"/>
      <c r="GK113" s="119">
        <f t="shared" si="58"/>
        <v>14.67879553</v>
      </c>
      <c r="GL113" s="128">
        <f>1+((GK113-MIN(ratings_sums))*(4)/(MAX(ratings_sums) - MIN(ratings_sums)))</f>
        <v>3.296637342</v>
      </c>
    </row>
    <row r="114" ht="15.75" customHeight="1">
      <c r="A114" s="161" t="s">
        <v>681</v>
      </c>
      <c r="B114" s="15">
        <v>1783627.0</v>
      </c>
      <c r="C114" s="162" t="s">
        <v>1030</v>
      </c>
      <c r="D114" s="163">
        <v>43836.50347222222</v>
      </c>
      <c r="E114" s="15" t="s">
        <v>392</v>
      </c>
      <c r="F114" s="164" t="s">
        <v>1031</v>
      </c>
      <c r="G114" s="164" t="s">
        <v>1032</v>
      </c>
      <c r="H114" s="173">
        <v>43728.0</v>
      </c>
      <c r="I114" s="162" t="s">
        <v>1033</v>
      </c>
      <c r="J114" s="162" t="s">
        <v>1030</v>
      </c>
      <c r="K114" s="15" t="s">
        <v>448</v>
      </c>
      <c r="L114" s="15" t="s">
        <v>379</v>
      </c>
      <c r="M114" s="15" t="s">
        <v>31</v>
      </c>
      <c r="N114" s="15" t="s">
        <v>82</v>
      </c>
      <c r="O114" s="15" t="s">
        <v>35</v>
      </c>
      <c r="Q114" s="15" t="s">
        <v>135</v>
      </c>
      <c r="R114" s="166"/>
      <c r="S114" s="120"/>
      <c r="T114" s="69">
        <v>2000000.0</v>
      </c>
      <c r="U114" s="69"/>
      <c r="V114" s="132"/>
      <c r="W114" s="96" t="str">
        <f t="shared" si="125"/>
        <v/>
      </c>
      <c r="X114" s="98">
        <f t="shared" si="126"/>
        <v>2000000</v>
      </c>
      <c r="Y114" s="99" t="str">
        <f t="shared" si="127"/>
        <v>$1M - $2M</v>
      </c>
      <c r="Z114" s="15" t="s">
        <v>36</v>
      </c>
      <c r="AA114" s="15" t="s">
        <v>87</v>
      </c>
      <c r="AB114" s="15" t="s">
        <v>38</v>
      </c>
      <c r="AC114" s="15" t="s">
        <v>469</v>
      </c>
      <c r="AD114" s="15" t="s">
        <v>89</v>
      </c>
      <c r="AE114" s="15" t="s">
        <v>39</v>
      </c>
      <c r="AF114" s="15" t="s">
        <v>469</v>
      </c>
      <c r="AG114" s="69">
        <v>7.0E9</v>
      </c>
      <c r="AH114" s="97" t="str">
        <f t="shared" si="128"/>
        <v>$5B-$10B</v>
      </c>
      <c r="AI114" s="69">
        <v>1.0E8</v>
      </c>
      <c r="AJ114" s="97" t="str">
        <f t="shared" si="129"/>
        <v>$100M-$250M</v>
      </c>
      <c r="AK114" s="167">
        <v>0.3</v>
      </c>
      <c r="AL114" s="88" t="str">
        <f t="shared" si="130"/>
        <v>20%-30%</v>
      </c>
      <c r="AM114" s="15">
        <v>50.0</v>
      </c>
      <c r="AN114" s="15" t="s">
        <v>89</v>
      </c>
      <c r="AO114" s="15" t="s">
        <v>89</v>
      </c>
      <c r="AP114" s="15" t="s">
        <v>40</v>
      </c>
      <c r="AQ114" s="168" t="s">
        <v>89</v>
      </c>
      <c r="AR114" s="168" t="s">
        <v>39</v>
      </c>
      <c r="AS114" s="15" t="s">
        <v>469</v>
      </c>
      <c r="AT114" s="15" t="s">
        <v>469</v>
      </c>
      <c r="AU114" s="15" t="s">
        <v>493</v>
      </c>
      <c r="AV114" s="15" t="s">
        <v>493</v>
      </c>
      <c r="AW114" s="69">
        <v>510377.0</v>
      </c>
      <c r="AX114" s="96" t="str">
        <f t="shared" si="131"/>
        <v>$500K - $1M</v>
      </c>
      <c r="AY114" s="69">
        <v>0.0</v>
      </c>
      <c r="AZ114" s="69">
        <v>131876.0</v>
      </c>
      <c r="BA114" s="103" t="str">
        <f t="shared" si="132"/>
        <v>$100K - $500K</v>
      </c>
      <c r="BB114" s="103">
        <f t="shared" si="133"/>
        <v>1</v>
      </c>
      <c r="BC114" s="103" t="str">
        <f t="shared" si="134"/>
        <v>90% - 100%</v>
      </c>
      <c r="BD114" s="15" t="s">
        <v>124</v>
      </c>
      <c r="BF114" s="15" t="s">
        <v>469</v>
      </c>
      <c r="BG114" s="15">
        <v>0.0</v>
      </c>
      <c r="BH114" s="15">
        <v>1.0</v>
      </c>
      <c r="BI114" s="15" t="s">
        <v>469</v>
      </c>
      <c r="BJ114" s="15" t="s">
        <v>493</v>
      </c>
      <c r="BK114" s="15" t="s">
        <v>469</v>
      </c>
      <c r="BL114" s="15" t="s">
        <v>469</v>
      </c>
      <c r="BM114" s="15">
        <v>1.0</v>
      </c>
      <c r="BN114" s="15">
        <v>1.0</v>
      </c>
      <c r="BO114" s="15">
        <v>0.0</v>
      </c>
      <c r="BP114" s="15">
        <v>0.0</v>
      </c>
      <c r="BQ114" s="108"/>
      <c r="BR114" s="15">
        <v>0.0</v>
      </c>
      <c r="BS114" s="15">
        <v>0.0</v>
      </c>
      <c r="BT114" s="15">
        <v>0.0</v>
      </c>
      <c r="BU114" s="15">
        <v>57.0</v>
      </c>
      <c r="BV114" s="15" t="s">
        <v>469</v>
      </c>
      <c r="BW114" s="108"/>
      <c r="CC114" s="108"/>
      <c r="CI114" s="108"/>
      <c r="CO114" s="108"/>
      <c r="CU114" s="108"/>
      <c r="DA114" s="108"/>
      <c r="DG114" s="108"/>
      <c r="DM114" s="108"/>
      <c r="DS114" s="108"/>
      <c r="DT114" s="108"/>
      <c r="DU114" s="108"/>
      <c r="DW114" s="109"/>
      <c r="DX114" s="110">
        <f t="shared" si="13"/>
        <v>0</v>
      </c>
      <c r="DY114" s="111">
        <f t="shared" ref="DY114:DZ114" si="287">sum(BS114,BY114,CE114,CK114,CQ114,CW114,DC114,DI114,DO114)</f>
        <v>0</v>
      </c>
      <c r="DZ114" s="111">
        <f t="shared" si="287"/>
        <v>0</v>
      </c>
      <c r="EA114" s="110">
        <f t="shared" si="15"/>
        <v>57</v>
      </c>
      <c r="EB114" s="99" t="str">
        <f t="shared" si="16"/>
        <v>55+</v>
      </c>
      <c r="EC114" s="112"/>
      <c r="ED114" s="113">
        <f t="shared" si="17"/>
        <v>4.8</v>
      </c>
      <c r="EE114" s="114" t="str">
        <f>IF(V114 &lt;&gt; "", 1+((V114-MIN(discount_rates))*(4)/(MAX(discount_rates) - MIN(discount_rates))), "")</f>
        <v/>
      </c>
      <c r="EF114" s="114" t="str">
        <f>IF(Q114="Debt", (1+((S114-MIN(interest_rates))*(4)/(MAX(interest_rates) - MIN(interest_rates)))), "")</f>
        <v/>
      </c>
      <c r="EG114" s="114" t="str">
        <f>IF(OR(Q114="Revenue Share", Q114="Profit Share"), (1+((R114-MIN(return_mutiples))*(4)/(MAX(return_mutiples) - MIN(return_mutiples)))), "")</f>
        <v/>
      </c>
      <c r="EH114" s="115">
        <f t="shared" si="18"/>
        <v>4.8</v>
      </c>
      <c r="EI114" s="116" t="str">
        <f t="shared" si="19"/>
        <v>Equity - Preferred</v>
      </c>
      <c r="EJ114" s="117">
        <f t="shared" si="20"/>
        <v>0.06849315068</v>
      </c>
      <c r="EK114" s="116" t="str">
        <f t="shared" si="21"/>
        <v>Early</v>
      </c>
      <c r="EL114" s="112"/>
      <c r="EM114" s="118">
        <f t="shared" si="22"/>
        <v>1.9</v>
      </c>
      <c r="EN114" s="118">
        <f t="shared" si="23"/>
        <v>3</v>
      </c>
      <c r="EO114" s="119">
        <f t="shared" si="24"/>
        <v>4.9</v>
      </c>
      <c r="EP114" s="115">
        <f>1+((EO114-MIN(market_ratings_sums))*(4)/(MAX(market_ratings_sums) - MIN(market_ratings_sums)))</f>
        <v>2.543859649</v>
      </c>
      <c r="EQ114" s="116" t="str">
        <f t="shared" si="25"/>
        <v>No</v>
      </c>
      <c r="ER114" s="112"/>
      <c r="ES114" s="123">
        <f>1+((DX114-MIN(industry_experiences))*(4)/(MAX(industry_experiences) - MIN(industry_experiences)))</f>
        <v>1</v>
      </c>
      <c r="ET114" s="123">
        <f>1+((DY114-MIN(previous_startups))*(4)/(MAX(previous_startups) - MIN(previous_startups)))</f>
        <v>1</v>
      </c>
      <c r="EU114" s="123">
        <f>1+((DZ114-MIN(exits))*(4)/(MAX(exits) - MIN(exits)))</f>
        <v>1</v>
      </c>
      <c r="EV114" s="119">
        <f t="shared" si="26"/>
        <v>3</v>
      </c>
      <c r="EW114" s="124">
        <f>1+((EV114-MIN(team_ratings_sums))*(4)/(MAX(team_ratings_sums) - MIN(team_ratings_sums)))</f>
        <v>1</v>
      </c>
      <c r="EX114" s="116" t="str">
        <f t="shared" si="27"/>
        <v>55+</v>
      </c>
      <c r="EY114" s="125">
        <f t="shared" si="28"/>
        <v>0.1095890411</v>
      </c>
      <c r="EZ114" s="116">
        <f t="shared" si="29"/>
        <v>1</v>
      </c>
      <c r="FA114" s="125">
        <f t="shared" si="30"/>
        <v>0.4383561644</v>
      </c>
      <c r="FB114" s="116">
        <f t="shared" si="31"/>
        <v>1</v>
      </c>
      <c r="FC114" s="125">
        <f t="shared" si="32"/>
        <v>0.08219178082</v>
      </c>
      <c r="FD114" s="116" t="str">
        <f t="shared" si="33"/>
        <v>No</v>
      </c>
      <c r="FE114" s="125">
        <f t="shared" si="34"/>
        <v>0.7534246575</v>
      </c>
      <c r="FF114" s="116" t="str">
        <f t="shared" ref="FF114:FH114" si="288">BJ114</f>
        <v>Yes</v>
      </c>
      <c r="FG114" s="116" t="str">
        <f t="shared" si="288"/>
        <v>No</v>
      </c>
      <c r="FH114" s="116" t="str">
        <f t="shared" si="288"/>
        <v>No</v>
      </c>
      <c r="FI114" s="112"/>
      <c r="FJ114" s="116" t="str">
        <f t="shared" si="36"/>
        <v>Transactional</v>
      </c>
      <c r="FK114" s="125">
        <f t="shared" si="37"/>
        <v>0.602739726</v>
      </c>
      <c r="FL114" s="116" t="str">
        <f t="shared" si="38"/>
        <v>B2C</v>
      </c>
      <c r="FM114" s="125">
        <f t="shared" si="39"/>
        <v>0.397260274</v>
      </c>
      <c r="FN114" s="116" t="str">
        <f t="shared" si="40"/>
        <v>Low</v>
      </c>
      <c r="FO114" s="125">
        <f t="shared" si="41"/>
        <v>0.4383561644</v>
      </c>
      <c r="FP114" s="116" t="str">
        <f t="shared" si="42"/>
        <v>High</v>
      </c>
      <c r="FQ114" s="125">
        <f t="shared" si="43"/>
        <v>0.6438356164</v>
      </c>
      <c r="FR114" s="112"/>
      <c r="FS114" s="123">
        <f t="shared" si="44"/>
        <v>5</v>
      </c>
      <c r="FT114" s="123">
        <f t="shared" si="45"/>
        <v>2.8</v>
      </c>
      <c r="FU114" s="123">
        <f t="shared" si="46"/>
        <v>1</v>
      </c>
      <c r="FV114" s="123">
        <f t="shared" si="47"/>
        <v>3.7</v>
      </c>
      <c r="FW114" s="119">
        <f t="shared" si="48"/>
        <v>12.5</v>
      </c>
      <c r="FX114" s="115">
        <f>1+((FW114-MIN(performance_ratings_sums))*(4)/(MAX(performance_ratings_sums) - MIN(performance_ratings_sums)))</f>
        <v>3.168224299</v>
      </c>
      <c r="FY114" s="116" t="str">
        <f t="shared" si="49"/>
        <v>Profitable</v>
      </c>
      <c r="FZ114" s="126">
        <f t="shared" si="50"/>
        <v>0.06849315068</v>
      </c>
      <c r="GA114" s="112"/>
      <c r="GB114" s="127">
        <f t="shared" si="51"/>
        <v>1</v>
      </c>
      <c r="GC114" s="116" t="str">
        <f t="shared" si="52"/>
        <v>No</v>
      </c>
      <c r="GD114" s="126">
        <f t="shared" si="53"/>
        <v>0.7671232877</v>
      </c>
      <c r="GE114" s="126" t="str">
        <f t="shared" si="54"/>
        <v>Low</v>
      </c>
      <c r="GF114" s="126">
        <f t="shared" si="55"/>
        <v>0.5479452055</v>
      </c>
      <c r="GG114" s="126" t="str">
        <f t="shared" si="56"/>
        <v>High</v>
      </c>
      <c r="GH114" s="126">
        <f t="shared" si="57"/>
        <v>0.8082191781</v>
      </c>
      <c r="GI114" s="112"/>
      <c r="GJ114" s="116"/>
      <c r="GK114" s="119">
        <f t="shared" si="58"/>
        <v>12.51208395</v>
      </c>
      <c r="GL114" s="128">
        <f>1+((GK114-MIN(ratings_sums))*(4)/(MAX(ratings_sums) - MIN(ratings_sums)))</f>
        <v>2.631803632</v>
      </c>
    </row>
    <row r="115" ht="15.75" customHeight="1">
      <c r="A115" s="161" t="s">
        <v>681</v>
      </c>
      <c r="B115" s="15">
        <v>1763898.0</v>
      </c>
      <c r="C115" s="162" t="s">
        <v>1034</v>
      </c>
      <c r="D115" s="163">
        <v>43837.49513888889</v>
      </c>
      <c r="E115" s="15" t="s">
        <v>363</v>
      </c>
      <c r="F115" s="164" t="s">
        <v>1035</v>
      </c>
      <c r="G115" s="164" t="s">
        <v>1036</v>
      </c>
      <c r="H115" s="173">
        <v>43539.0</v>
      </c>
      <c r="I115" s="162" t="s">
        <v>1037</v>
      </c>
      <c r="J115" s="162" t="s">
        <v>1034</v>
      </c>
      <c r="K115" s="15" t="s">
        <v>432</v>
      </c>
      <c r="L115" s="15" t="s">
        <v>154</v>
      </c>
      <c r="M115" s="15" t="s">
        <v>31</v>
      </c>
      <c r="N115" s="15" t="s">
        <v>32</v>
      </c>
      <c r="O115" s="15" t="s">
        <v>35</v>
      </c>
      <c r="Q115" s="15" t="s">
        <v>34</v>
      </c>
      <c r="R115" s="166"/>
      <c r="S115" s="120"/>
      <c r="T115" s="69"/>
      <c r="U115" s="69">
        <v>580000.0</v>
      </c>
      <c r="V115" s="132">
        <v>0.0</v>
      </c>
      <c r="W115" s="96">
        <f t="shared" si="125"/>
        <v>580000</v>
      </c>
      <c r="X115" s="98">
        <f t="shared" si="126"/>
        <v>580000</v>
      </c>
      <c r="Y115" s="99" t="str">
        <f t="shared" si="127"/>
        <v>&lt; $1M</v>
      </c>
      <c r="Z115" s="15" t="s">
        <v>36</v>
      </c>
      <c r="AA115" s="15" t="s">
        <v>87</v>
      </c>
      <c r="AB115" s="15" t="s">
        <v>38</v>
      </c>
      <c r="AC115" s="15" t="s">
        <v>469</v>
      </c>
      <c r="AD115" s="15" t="s">
        <v>39</v>
      </c>
      <c r="AE115" s="15" t="s">
        <v>89</v>
      </c>
      <c r="AF115" s="15" t="s">
        <v>469</v>
      </c>
      <c r="AG115" s="69">
        <v>7.5E9</v>
      </c>
      <c r="AH115" s="97" t="str">
        <f t="shared" si="128"/>
        <v>$5B-$10B</v>
      </c>
      <c r="AI115" s="69">
        <v>1.0E7</v>
      </c>
      <c r="AJ115" s="97" t="str">
        <f t="shared" si="129"/>
        <v>&lt; $25M</v>
      </c>
      <c r="AK115" s="167">
        <v>0.09</v>
      </c>
      <c r="AL115" s="88" t="str">
        <f t="shared" si="130"/>
        <v>0%-10%</v>
      </c>
      <c r="AM115" s="15">
        <v>100.0</v>
      </c>
      <c r="AN115" s="15" t="s">
        <v>89</v>
      </c>
      <c r="AO115" s="15" t="s">
        <v>89</v>
      </c>
      <c r="AP115" s="15" t="s">
        <v>106</v>
      </c>
      <c r="AQ115" s="168" t="s">
        <v>89</v>
      </c>
      <c r="AR115" s="168" t="s">
        <v>39</v>
      </c>
      <c r="AS115" s="15" t="s">
        <v>469</v>
      </c>
      <c r="AT115" s="15" t="s">
        <v>469</v>
      </c>
      <c r="AU115" s="15" t="s">
        <v>469</v>
      </c>
      <c r="AV115" s="15" t="s">
        <v>469</v>
      </c>
      <c r="AW115" s="69">
        <v>0.0</v>
      </c>
      <c r="AX115" s="96" t="str">
        <f t="shared" si="131"/>
        <v>&lt; $10K</v>
      </c>
      <c r="AY115" s="69">
        <v>0.0</v>
      </c>
      <c r="AZ115" s="69">
        <v>0.0</v>
      </c>
      <c r="BA115" s="103" t="str">
        <f t="shared" si="132"/>
        <v>&lt; $10K</v>
      </c>
      <c r="BB115" s="103">
        <f t="shared" si="133"/>
        <v>1</v>
      </c>
      <c r="BC115" s="103" t="str">
        <f t="shared" si="134"/>
        <v>90% - 100%</v>
      </c>
      <c r="BD115" s="15" t="s">
        <v>41</v>
      </c>
      <c r="BF115" s="15" t="s">
        <v>469</v>
      </c>
      <c r="BG115" s="15">
        <v>0.0</v>
      </c>
      <c r="BH115" s="15">
        <v>1.0</v>
      </c>
      <c r="BI115" s="15" t="s">
        <v>469</v>
      </c>
      <c r="BJ115" s="15" t="s">
        <v>469</v>
      </c>
      <c r="BK115" s="15" t="s">
        <v>493</v>
      </c>
      <c r="BL115" s="15" t="s">
        <v>469</v>
      </c>
      <c r="BM115" s="15">
        <v>1.0</v>
      </c>
      <c r="BN115" s="15">
        <v>1.0</v>
      </c>
      <c r="BO115" s="15">
        <v>0.0</v>
      </c>
      <c r="BP115" s="15">
        <v>0.0</v>
      </c>
      <c r="BQ115" s="108"/>
      <c r="BR115" s="15">
        <v>0.0</v>
      </c>
      <c r="BS115" s="15">
        <v>0.0</v>
      </c>
      <c r="BT115" s="15">
        <v>0.0</v>
      </c>
      <c r="BU115" s="15">
        <v>30.0</v>
      </c>
      <c r="BV115" s="15" t="s">
        <v>469</v>
      </c>
      <c r="BW115" s="108"/>
      <c r="CC115" s="108"/>
      <c r="CI115" s="108"/>
      <c r="CO115" s="108"/>
      <c r="CU115" s="108"/>
      <c r="DA115" s="108"/>
      <c r="DG115" s="108"/>
      <c r="DM115" s="108"/>
      <c r="DS115" s="108"/>
      <c r="DT115" s="108"/>
      <c r="DU115" s="108"/>
      <c r="DW115" s="109"/>
      <c r="DX115" s="110">
        <f t="shared" si="13"/>
        <v>0</v>
      </c>
      <c r="DY115" s="111">
        <f t="shared" ref="DY115:DZ115" si="289">sum(BS115,BY115,CE115,CK115,CQ115,CW115,DC115,DI115,DO115)</f>
        <v>0</v>
      </c>
      <c r="DZ115" s="111">
        <f t="shared" si="289"/>
        <v>0</v>
      </c>
      <c r="EA115" s="110">
        <f t="shared" si="15"/>
        <v>30</v>
      </c>
      <c r="EB115" s="99" t="str">
        <f t="shared" si="16"/>
        <v>20 - 34</v>
      </c>
      <c r="EC115" s="112"/>
      <c r="ED115" s="113">
        <f t="shared" si="17"/>
        <v>5</v>
      </c>
      <c r="EE115" s="114">
        <f>IF(V115 &lt;&gt; "", 1+((V115-MIN(discount_rates))*(4)/(MAX(discount_rates) - MIN(discount_rates))), "")</f>
        <v>1</v>
      </c>
      <c r="EF115" s="114" t="str">
        <f>IF(Q115="Debt", (1+((S115-MIN(interest_rates))*(4)/(MAX(interest_rates) - MIN(interest_rates)))), "")</f>
        <v/>
      </c>
      <c r="EG115" s="114" t="str">
        <f>IF(OR(Q115="Revenue Share", Q115="Profit Share"), (1+((R115-MIN(return_mutiples))*(4)/(MAX(return_mutiples) - MIN(return_mutiples)))), "")</f>
        <v/>
      </c>
      <c r="EH115" s="115">
        <f t="shared" si="18"/>
        <v>5</v>
      </c>
      <c r="EI115" s="116" t="str">
        <f t="shared" si="19"/>
        <v>CAFES</v>
      </c>
      <c r="EJ115" s="117">
        <f t="shared" si="20"/>
        <v>0.1232876712</v>
      </c>
      <c r="EK115" s="116" t="str">
        <f t="shared" si="21"/>
        <v>Early</v>
      </c>
      <c r="EL115" s="112"/>
      <c r="EM115" s="118">
        <f t="shared" si="22"/>
        <v>1</v>
      </c>
      <c r="EN115" s="118">
        <f t="shared" si="23"/>
        <v>1.7</v>
      </c>
      <c r="EO115" s="119">
        <f t="shared" si="24"/>
        <v>2.7</v>
      </c>
      <c r="EP115" s="115">
        <f>1+((EO115-MIN(market_ratings_sums))*(4)/(MAX(market_ratings_sums) - MIN(market_ratings_sums)))</f>
        <v>1</v>
      </c>
      <c r="EQ115" s="116" t="str">
        <f t="shared" si="25"/>
        <v>No</v>
      </c>
      <c r="ER115" s="112"/>
      <c r="ES115" s="123">
        <f>1+((DX115-MIN(industry_experiences))*(4)/(MAX(industry_experiences) - MIN(industry_experiences)))</f>
        <v>1</v>
      </c>
      <c r="ET115" s="123">
        <f>1+((DY115-MIN(previous_startups))*(4)/(MAX(previous_startups) - MIN(previous_startups)))</f>
        <v>1</v>
      </c>
      <c r="EU115" s="123">
        <f>1+((DZ115-MIN(exits))*(4)/(MAX(exits) - MIN(exits)))</f>
        <v>1</v>
      </c>
      <c r="EV115" s="119">
        <f t="shared" si="26"/>
        <v>3</v>
      </c>
      <c r="EW115" s="124">
        <f>1+((EV115-MIN(team_ratings_sums))*(4)/(MAX(team_ratings_sums) - MIN(team_ratings_sums)))</f>
        <v>1</v>
      </c>
      <c r="EX115" s="116" t="str">
        <f t="shared" si="27"/>
        <v>20 - 34</v>
      </c>
      <c r="EY115" s="125">
        <f t="shared" si="28"/>
        <v>0.2054794521</v>
      </c>
      <c r="EZ115" s="116">
        <f t="shared" si="29"/>
        <v>1</v>
      </c>
      <c r="FA115" s="125">
        <f t="shared" si="30"/>
        <v>0.4383561644</v>
      </c>
      <c r="FB115" s="116">
        <f t="shared" si="31"/>
        <v>1</v>
      </c>
      <c r="FC115" s="125">
        <f t="shared" si="32"/>
        <v>0.08219178082</v>
      </c>
      <c r="FD115" s="116" t="str">
        <f t="shared" si="33"/>
        <v>No</v>
      </c>
      <c r="FE115" s="125">
        <f t="shared" si="34"/>
        <v>0.7534246575</v>
      </c>
      <c r="FF115" s="116" t="str">
        <f t="shared" ref="FF115:FH115" si="290">BJ115</f>
        <v>No</v>
      </c>
      <c r="FG115" s="116" t="str">
        <f t="shared" si="290"/>
        <v>Yes</v>
      </c>
      <c r="FH115" s="116" t="str">
        <f t="shared" si="290"/>
        <v>No</v>
      </c>
      <c r="FI115" s="112"/>
      <c r="FJ115" s="116" t="str">
        <f t="shared" si="36"/>
        <v>Transactional</v>
      </c>
      <c r="FK115" s="125">
        <f t="shared" si="37"/>
        <v>0.602739726</v>
      </c>
      <c r="FL115" s="116" t="str">
        <f t="shared" si="38"/>
        <v>B2C</v>
      </c>
      <c r="FM115" s="125">
        <f t="shared" si="39"/>
        <v>0.397260274</v>
      </c>
      <c r="FN115" s="116" t="str">
        <f t="shared" si="40"/>
        <v>High</v>
      </c>
      <c r="FO115" s="125">
        <f t="shared" si="41"/>
        <v>0.5616438356</v>
      </c>
      <c r="FP115" s="116" t="str">
        <f t="shared" si="42"/>
        <v>Low</v>
      </c>
      <c r="FQ115" s="125">
        <f t="shared" si="43"/>
        <v>0.3561643836</v>
      </c>
      <c r="FR115" s="112"/>
      <c r="FS115" s="123">
        <f t="shared" si="44"/>
        <v>1</v>
      </c>
      <c r="FT115" s="123">
        <f t="shared" si="45"/>
        <v>1</v>
      </c>
      <c r="FU115" s="123">
        <f t="shared" si="46"/>
        <v>1</v>
      </c>
      <c r="FV115" s="123">
        <f t="shared" si="47"/>
        <v>5</v>
      </c>
      <c r="FW115" s="119">
        <f t="shared" si="48"/>
        <v>8</v>
      </c>
      <c r="FX115" s="115">
        <f>1+((FW115-MIN(performance_ratings_sums))*(4)/(MAX(performance_ratings_sums) - MIN(performance_ratings_sums)))</f>
        <v>1.485981308</v>
      </c>
      <c r="FY115" s="116" t="str">
        <f t="shared" si="49"/>
        <v>Pre-Product</v>
      </c>
      <c r="FZ115" s="126">
        <f t="shared" si="50"/>
        <v>0.2328767123</v>
      </c>
      <c r="GA115" s="112"/>
      <c r="GB115" s="127">
        <f t="shared" si="51"/>
        <v>1</v>
      </c>
      <c r="GC115" s="116" t="str">
        <f t="shared" si="52"/>
        <v>No</v>
      </c>
      <c r="GD115" s="126">
        <f t="shared" si="53"/>
        <v>0.7671232877</v>
      </c>
      <c r="GE115" s="126" t="str">
        <f t="shared" si="54"/>
        <v>Low</v>
      </c>
      <c r="GF115" s="126">
        <f t="shared" si="55"/>
        <v>0.5479452055</v>
      </c>
      <c r="GG115" s="126" t="str">
        <f t="shared" si="56"/>
        <v>High</v>
      </c>
      <c r="GH115" s="126">
        <f t="shared" si="57"/>
        <v>0.8082191781</v>
      </c>
      <c r="GI115" s="112"/>
      <c r="GJ115" s="116"/>
      <c r="GK115" s="119">
        <f t="shared" si="58"/>
        <v>9.485981308</v>
      </c>
      <c r="GL115" s="128">
        <f>1+((GK115-MIN(ratings_sums))*(4)/(MAX(ratings_sums) - MIN(ratings_sums)))</f>
        <v>1.703274397</v>
      </c>
    </row>
    <row r="116" ht="15.75" customHeight="1">
      <c r="A116" s="161" t="s">
        <v>681</v>
      </c>
      <c r="B116" s="15">
        <v>1797421.0</v>
      </c>
      <c r="C116" s="162" t="s">
        <v>1038</v>
      </c>
      <c r="D116" s="163">
        <v>43838.46944444445</v>
      </c>
      <c r="E116" s="15" t="s">
        <v>381</v>
      </c>
      <c r="F116" s="164" t="s">
        <v>1039</v>
      </c>
      <c r="G116" s="164" t="s">
        <v>1040</v>
      </c>
      <c r="H116" s="173">
        <v>43838.0</v>
      </c>
      <c r="I116" s="162" t="s">
        <v>1041</v>
      </c>
      <c r="J116" s="162" t="s">
        <v>1038</v>
      </c>
      <c r="K116" s="15" t="s">
        <v>457</v>
      </c>
      <c r="L116" s="15" t="s">
        <v>323</v>
      </c>
      <c r="M116" s="15" t="s">
        <v>31</v>
      </c>
      <c r="N116" s="15" t="s">
        <v>32</v>
      </c>
      <c r="O116" s="15" t="s">
        <v>35</v>
      </c>
      <c r="Q116" s="15" t="s">
        <v>121</v>
      </c>
      <c r="R116" s="166"/>
      <c r="S116" s="120"/>
      <c r="T116" s="69">
        <v>1.6E7</v>
      </c>
      <c r="U116" s="69"/>
      <c r="V116" s="132"/>
      <c r="W116" s="96" t="str">
        <f t="shared" si="125"/>
        <v/>
      </c>
      <c r="X116" s="98">
        <f t="shared" si="126"/>
        <v>16000000</v>
      </c>
      <c r="Y116" s="99" t="str">
        <f t="shared" si="127"/>
        <v>$14M - $16M</v>
      </c>
      <c r="Z116" s="15" t="s">
        <v>36</v>
      </c>
      <c r="AA116" s="15" t="s">
        <v>123</v>
      </c>
      <c r="AB116" s="15" t="s">
        <v>38</v>
      </c>
      <c r="AC116" s="15" t="s">
        <v>469</v>
      </c>
      <c r="AD116" s="15" t="s">
        <v>39</v>
      </c>
      <c r="AE116" s="15" t="s">
        <v>39</v>
      </c>
      <c r="AF116" s="15" t="s">
        <v>469</v>
      </c>
      <c r="AG116" s="69">
        <v>1.0E11</v>
      </c>
      <c r="AH116" s="97" t="str">
        <f t="shared" si="128"/>
        <v>$100B-$250B</v>
      </c>
      <c r="AI116" s="69">
        <v>1.0E9</v>
      </c>
      <c r="AJ116" s="97" t="str">
        <f t="shared" si="129"/>
        <v>$1B-$5B</v>
      </c>
      <c r="AK116" s="167">
        <v>0.04</v>
      </c>
      <c r="AL116" s="88" t="str">
        <f t="shared" si="130"/>
        <v>0%-10%</v>
      </c>
      <c r="AM116" s="15">
        <v>20.0</v>
      </c>
      <c r="AN116" s="15" t="s">
        <v>39</v>
      </c>
      <c r="AO116" s="15" t="s">
        <v>39</v>
      </c>
      <c r="AP116" s="15" t="s">
        <v>90</v>
      </c>
      <c r="AQ116" s="168" t="s">
        <v>89</v>
      </c>
      <c r="AR116" s="168" t="s">
        <v>39</v>
      </c>
      <c r="AS116" s="15" t="s">
        <v>469</v>
      </c>
      <c r="AT116" s="15" t="s">
        <v>493</v>
      </c>
      <c r="AU116" s="15" t="s">
        <v>493</v>
      </c>
      <c r="AV116" s="15" t="s">
        <v>493</v>
      </c>
      <c r="AW116" s="69">
        <v>2388.0</v>
      </c>
      <c r="AX116" s="96" t="str">
        <f t="shared" si="131"/>
        <v>&lt; $10K</v>
      </c>
      <c r="AY116" s="69">
        <v>27978.0</v>
      </c>
      <c r="AZ116" s="69">
        <v>0.0</v>
      </c>
      <c r="BA116" s="103" t="str">
        <f t="shared" si="132"/>
        <v>&lt; $10K</v>
      </c>
      <c r="BB116" s="103">
        <f t="shared" si="133"/>
        <v>1</v>
      </c>
      <c r="BC116" s="103" t="str">
        <f t="shared" si="134"/>
        <v>90% - 100%</v>
      </c>
      <c r="BD116" s="15" t="s">
        <v>107</v>
      </c>
      <c r="BF116" s="15" t="s">
        <v>469</v>
      </c>
      <c r="BG116" s="15">
        <v>0.0</v>
      </c>
      <c r="BH116" s="15">
        <v>1.0</v>
      </c>
      <c r="BI116" s="15" t="s">
        <v>469</v>
      </c>
      <c r="BJ116" s="15" t="s">
        <v>469</v>
      </c>
      <c r="BK116" s="15" t="s">
        <v>469</v>
      </c>
      <c r="BL116" s="15" t="s">
        <v>469</v>
      </c>
      <c r="BM116" s="15">
        <v>2.0</v>
      </c>
      <c r="BN116" s="15">
        <v>8.0</v>
      </c>
      <c r="BO116" s="15">
        <v>0.0</v>
      </c>
      <c r="BP116" s="15">
        <v>0.0</v>
      </c>
      <c r="BQ116" s="108"/>
      <c r="BR116" s="15">
        <v>15.0</v>
      </c>
      <c r="BS116" s="15">
        <v>1.0</v>
      </c>
      <c r="BT116" s="15">
        <v>0.0</v>
      </c>
      <c r="BU116" s="15">
        <v>53.0</v>
      </c>
      <c r="BV116" s="15" t="s">
        <v>469</v>
      </c>
      <c r="BW116" s="108"/>
      <c r="CC116" s="108"/>
      <c r="CI116" s="108"/>
      <c r="CO116" s="108"/>
      <c r="CU116" s="108"/>
      <c r="DA116" s="108"/>
      <c r="DG116" s="108"/>
      <c r="DM116" s="108"/>
      <c r="DS116" s="108"/>
      <c r="DT116" s="108"/>
      <c r="DU116" s="108"/>
      <c r="DW116" s="109"/>
      <c r="DX116" s="110">
        <f t="shared" si="13"/>
        <v>15</v>
      </c>
      <c r="DY116" s="111">
        <f t="shared" ref="DY116:DZ116" si="291">sum(BS116,BY116,CE116,CK116,CQ116,CW116,DC116,DI116,DO116)</f>
        <v>1</v>
      </c>
      <c r="DZ116" s="111">
        <f t="shared" si="291"/>
        <v>0</v>
      </c>
      <c r="EA116" s="110">
        <f t="shared" si="15"/>
        <v>53</v>
      </c>
      <c r="EB116" s="99" t="str">
        <f t="shared" si="16"/>
        <v>35 - 54</v>
      </c>
      <c r="EC116" s="112"/>
      <c r="ED116" s="113">
        <f t="shared" si="17"/>
        <v>3.5</v>
      </c>
      <c r="EE116" s="114" t="str">
        <f>IF(V116 &lt;&gt; "", 1+((V116-MIN(discount_rates))*(4)/(MAX(discount_rates) - MIN(discount_rates))), "")</f>
        <v/>
      </c>
      <c r="EF116" s="114" t="str">
        <f>IF(Q116="Debt", (1+((S116-MIN(interest_rates))*(4)/(MAX(interest_rates) - MIN(interest_rates)))), "")</f>
        <v/>
      </c>
      <c r="EG116" s="114" t="str">
        <f>IF(OR(Q116="Revenue Share", Q116="Profit Share"), (1+((R116-MIN(return_mutiples))*(4)/(MAX(return_mutiples) - MIN(return_mutiples)))), "")</f>
        <v/>
      </c>
      <c r="EH116" s="115">
        <f t="shared" si="18"/>
        <v>3.5</v>
      </c>
      <c r="EI116" s="116" t="str">
        <f t="shared" si="19"/>
        <v>Equity - Common</v>
      </c>
      <c r="EJ116" s="117">
        <f t="shared" si="20"/>
        <v>0.3287671233</v>
      </c>
      <c r="EK116" s="116" t="str">
        <f t="shared" si="21"/>
        <v>Early</v>
      </c>
      <c r="EL116" s="112"/>
      <c r="EM116" s="118">
        <f t="shared" si="22"/>
        <v>2.7</v>
      </c>
      <c r="EN116" s="118">
        <f t="shared" si="23"/>
        <v>1.7</v>
      </c>
      <c r="EO116" s="119">
        <f t="shared" si="24"/>
        <v>4.4</v>
      </c>
      <c r="EP116" s="115">
        <f>1+((EO116-MIN(market_ratings_sums))*(4)/(MAX(market_ratings_sums) - MIN(market_ratings_sums)))</f>
        <v>2.192982456</v>
      </c>
      <c r="EQ116" s="116" t="str">
        <f t="shared" si="25"/>
        <v>No</v>
      </c>
      <c r="ER116" s="112"/>
      <c r="ES116" s="123">
        <f>1+((DX116-MIN(industry_experiences))*(4)/(MAX(industry_experiences) - MIN(industry_experiences)))</f>
        <v>2.428571429</v>
      </c>
      <c r="ET116" s="123">
        <f>1+((DY116-MIN(previous_startups))*(4)/(MAX(previous_startups) - MIN(previous_startups)))</f>
        <v>1.444444444</v>
      </c>
      <c r="EU116" s="123">
        <f>1+((DZ116-MIN(exits))*(4)/(MAX(exits) - MIN(exits)))</f>
        <v>1</v>
      </c>
      <c r="EV116" s="119">
        <f t="shared" si="26"/>
        <v>4.873015873</v>
      </c>
      <c r="EW116" s="124">
        <f>1+((EV116-MIN(team_ratings_sums))*(4)/(MAX(team_ratings_sums) - MIN(team_ratings_sums)))</f>
        <v>2.026086957</v>
      </c>
      <c r="EX116" s="116" t="str">
        <f t="shared" si="27"/>
        <v>35 - 54</v>
      </c>
      <c r="EY116" s="125">
        <f t="shared" si="28"/>
        <v>0.6849315068</v>
      </c>
      <c r="EZ116" s="116">
        <f t="shared" si="29"/>
        <v>1</v>
      </c>
      <c r="FA116" s="125">
        <f t="shared" si="30"/>
        <v>0.4383561644</v>
      </c>
      <c r="FB116" s="116">
        <f t="shared" si="31"/>
        <v>8</v>
      </c>
      <c r="FC116" s="125">
        <f t="shared" si="32"/>
        <v>0.05479452055</v>
      </c>
      <c r="FD116" s="116" t="str">
        <f t="shared" si="33"/>
        <v>No</v>
      </c>
      <c r="FE116" s="125">
        <f t="shared" si="34"/>
        <v>0.7534246575</v>
      </c>
      <c r="FF116" s="116" t="str">
        <f t="shared" ref="FF116:FH116" si="292">BJ116</f>
        <v>No</v>
      </c>
      <c r="FG116" s="116" t="str">
        <f t="shared" si="292"/>
        <v>No</v>
      </c>
      <c r="FH116" s="116" t="str">
        <f t="shared" si="292"/>
        <v>No</v>
      </c>
      <c r="FI116" s="112"/>
      <c r="FJ116" s="116" t="str">
        <f t="shared" si="36"/>
        <v>Transactional</v>
      </c>
      <c r="FK116" s="125">
        <f t="shared" si="37"/>
        <v>0.602739726</v>
      </c>
      <c r="FL116" s="116" t="str">
        <f t="shared" si="38"/>
        <v>B2B/B2C</v>
      </c>
      <c r="FM116" s="125">
        <f t="shared" si="39"/>
        <v>0.3287671233</v>
      </c>
      <c r="FN116" s="116" t="str">
        <f t="shared" si="40"/>
        <v>High</v>
      </c>
      <c r="FO116" s="125">
        <f t="shared" si="41"/>
        <v>0.5616438356</v>
      </c>
      <c r="FP116" s="116" t="str">
        <f t="shared" si="42"/>
        <v>High</v>
      </c>
      <c r="FQ116" s="125">
        <f t="shared" si="43"/>
        <v>0.6438356164</v>
      </c>
      <c r="FR116" s="112"/>
      <c r="FS116" s="123">
        <f t="shared" si="44"/>
        <v>5</v>
      </c>
      <c r="FT116" s="123">
        <f t="shared" si="45"/>
        <v>1</v>
      </c>
      <c r="FU116" s="123">
        <f t="shared" si="46"/>
        <v>1</v>
      </c>
      <c r="FV116" s="123">
        <f t="shared" si="47"/>
        <v>5</v>
      </c>
      <c r="FW116" s="119">
        <f t="shared" si="48"/>
        <v>12</v>
      </c>
      <c r="FX116" s="115">
        <f>1+((FW116-MIN(performance_ratings_sums))*(4)/(MAX(performance_ratings_sums) - MIN(performance_ratings_sums)))</f>
        <v>2.981308411</v>
      </c>
      <c r="FY116" s="116" t="str">
        <f t="shared" si="49"/>
        <v>Pre-Profit</v>
      </c>
      <c r="FZ116" s="126">
        <f t="shared" si="50"/>
        <v>0.4931506849</v>
      </c>
      <c r="GA116" s="112"/>
      <c r="GB116" s="127">
        <f t="shared" si="51"/>
        <v>5</v>
      </c>
      <c r="GC116" s="116" t="str">
        <f t="shared" si="52"/>
        <v>Yes</v>
      </c>
      <c r="GD116" s="126">
        <f t="shared" si="53"/>
        <v>0.2328767123</v>
      </c>
      <c r="GE116" s="126" t="str">
        <f t="shared" si="54"/>
        <v>Low</v>
      </c>
      <c r="GF116" s="126">
        <f t="shared" si="55"/>
        <v>0.5479452055</v>
      </c>
      <c r="GG116" s="126" t="str">
        <f t="shared" si="56"/>
        <v>High</v>
      </c>
      <c r="GH116" s="126">
        <f t="shared" si="57"/>
        <v>0.8082191781</v>
      </c>
      <c r="GI116" s="112"/>
      <c r="GJ116" s="116"/>
      <c r="GK116" s="119">
        <f t="shared" si="58"/>
        <v>15.70037782</v>
      </c>
      <c r="GL116" s="128">
        <f>1+((GK116-MIN(ratings_sums))*(4)/(MAX(ratings_sums) - MIN(ratings_sums)))</f>
        <v>3.610099621</v>
      </c>
    </row>
    <row r="117" ht="15.75" customHeight="1">
      <c r="A117" s="161" t="s">
        <v>681</v>
      </c>
      <c r="B117" s="15">
        <v>1716822.0</v>
      </c>
      <c r="C117" s="162" t="s">
        <v>1042</v>
      </c>
      <c r="D117" s="163">
        <v>43839.48819444444</v>
      </c>
      <c r="E117" s="15" t="s">
        <v>369</v>
      </c>
      <c r="F117" s="164" t="s">
        <v>1043</v>
      </c>
      <c r="G117" s="164" t="s">
        <v>1044</v>
      </c>
      <c r="H117" s="173">
        <v>43840.0</v>
      </c>
      <c r="I117" s="162" t="s">
        <v>1045</v>
      </c>
      <c r="J117" s="162" t="s">
        <v>1042</v>
      </c>
      <c r="K117" s="15" t="s">
        <v>535</v>
      </c>
      <c r="L117" s="15" t="s">
        <v>349</v>
      </c>
      <c r="M117" s="15" t="s">
        <v>31</v>
      </c>
      <c r="N117" s="15" t="s">
        <v>82</v>
      </c>
      <c r="O117" s="15" t="s">
        <v>35</v>
      </c>
      <c r="Q117" s="15" t="s">
        <v>195</v>
      </c>
      <c r="R117" s="166"/>
      <c r="S117" s="120"/>
      <c r="T117" s="69"/>
      <c r="U117" s="69">
        <v>1.0E7</v>
      </c>
      <c r="V117" s="132">
        <v>0.0</v>
      </c>
      <c r="W117" s="96">
        <f t="shared" si="125"/>
        <v>10000000</v>
      </c>
      <c r="X117" s="98">
        <f t="shared" si="126"/>
        <v>10000000</v>
      </c>
      <c r="Y117" s="99" t="str">
        <f t="shared" si="127"/>
        <v>$8M - $10M</v>
      </c>
      <c r="Z117" s="15" t="s">
        <v>36</v>
      </c>
      <c r="AA117" s="15" t="s">
        <v>123</v>
      </c>
      <c r="AB117" s="15" t="s">
        <v>88</v>
      </c>
      <c r="AC117" s="15" t="s">
        <v>493</v>
      </c>
      <c r="AD117" s="15" t="s">
        <v>89</v>
      </c>
      <c r="AE117" s="15" t="s">
        <v>89</v>
      </c>
      <c r="AF117" s="15" t="s">
        <v>493</v>
      </c>
      <c r="AG117" s="69">
        <v>1.6E11</v>
      </c>
      <c r="AH117" s="97" t="str">
        <f t="shared" si="128"/>
        <v>$100B-$250B</v>
      </c>
      <c r="AI117" s="69">
        <v>1.0E9</v>
      </c>
      <c r="AJ117" s="97" t="str">
        <f t="shared" si="129"/>
        <v>$1B-$5B</v>
      </c>
      <c r="AK117" s="167">
        <v>0.03</v>
      </c>
      <c r="AL117" s="88" t="str">
        <f t="shared" si="130"/>
        <v>0%-10%</v>
      </c>
      <c r="AM117" s="15">
        <v>100.0</v>
      </c>
      <c r="AN117" s="15" t="s">
        <v>39</v>
      </c>
      <c r="AO117" s="15" t="s">
        <v>39</v>
      </c>
      <c r="AP117" s="15" t="s">
        <v>90</v>
      </c>
      <c r="AQ117" s="168" t="s">
        <v>89</v>
      </c>
      <c r="AR117" s="168" t="s">
        <v>89</v>
      </c>
      <c r="AS117" s="15" t="s">
        <v>493</v>
      </c>
      <c r="AT117" s="15" t="s">
        <v>469</v>
      </c>
      <c r="AU117" s="15" t="s">
        <v>493</v>
      </c>
      <c r="AV117" s="15" t="s">
        <v>493</v>
      </c>
      <c r="AW117" s="69">
        <v>86992.0</v>
      </c>
      <c r="AX117" s="96" t="str">
        <f t="shared" si="131"/>
        <v>$50K - $100K</v>
      </c>
      <c r="AY117" s="69">
        <v>35537.0</v>
      </c>
      <c r="AZ117" s="69">
        <v>1400000.0</v>
      </c>
      <c r="BA117" s="103" t="str">
        <f t="shared" si="132"/>
        <v>$1M - $2M</v>
      </c>
      <c r="BB117" s="103">
        <f t="shared" si="133"/>
        <v>0.02538357143</v>
      </c>
      <c r="BC117" s="103" t="str">
        <f t="shared" si="134"/>
        <v>&lt; 10%</v>
      </c>
      <c r="BD117" s="15" t="s">
        <v>107</v>
      </c>
      <c r="BF117" s="15" t="s">
        <v>493</v>
      </c>
      <c r="BG117" s="15">
        <v>3.0</v>
      </c>
      <c r="BH117" s="15">
        <v>1.0</v>
      </c>
      <c r="BI117" s="15" t="s">
        <v>469</v>
      </c>
      <c r="BJ117" s="15" t="s">
        <v>469</v>
      </c>
      <c r="BK117" s="15" t="s">
        <v>469</v>
      </c>
      <c r="BL117" s="15" t="s">
        <v>469</v>
      </c>
      <c r="BM117" s="15">
        <v>1.0</v>
      </c>
      <c r="BN117" s="15">
        <v>8.0</v>
      </c>
      <c r="BO117" s="15">
        <v>0.0</v>
      </c>
      <c r="BP117" s="15">
        <v>1.0</v>
      </c>
      <c r="BQ117" s="108"/>
      <c r="BR117" s="15">
        <v>20.0</v>
      </c>
      <c r="BS117" s="15">
        <v>4.0</v>
      </c>
      <c r="BT117" s="15">
        <v>1.0</v>
      </c>
      <c r="BU117" s="15">
        <v>66.0</v>
      </c>
      <c r="BV117" s="15" t="s">
        <v>469</v>
      </c>
      <c r="BW117" s="108"/>
      <c r="CC117" s="108"/>
      <c r="CI117" s="108"/>
      <c r="CO117" s="108"/>
      <c r="CU117" s="108"/>
      <c r="DA117" s="108"/>
      <c r="DG117" s="108"/>
      <c r="DM117" s="108"/>
      <c r="DS117" s="108"/>
      <c r="DT117" s="108"/>
      <c r="DU117" s="108"/>
      <c r="DW117" s="109"/>
      <c r="DX117" s="110">
        <f t="shared" si="13"/>
        <v>20</v>
      </c>
      <c r="DY117" s="111">
        <f t="shared" ref="DY117:DZ117" si="293">sum(BS117,BY117,CE117,CK117,CQ117,CW117,DC117,DI117,DO117)</f>
        <v>4</v>
      </c>
      <c r="DZ117" s="111">
        <f t="shared" si="293"/>
        <v>1</v>
      </c>
      <c r="EA117" s="110">
        <f t="shared" si="15"/>
        <v>66</v>
      </c>
      <c r="EB117" s="99" t="str">
        <f t="shared" si="16"/>
        <v>55+</v>
      </c>
      <c r="EC117" s="112"/>
      <c r="ED117" s="113">
        <f t="shared" si="17"/>
        <v>4</v>
      </c>
      <c r="EE117" s="114">
        <f>IF(V117 &lt;&gt; "", 1+((V117-MIN(discount_rates))*(4)/(MAX(discount_rates) - MIN(discount_rates))), "")</f>
        <v>1</v>
      </c>
      <c r="EF117" s="114" t="str">
        <f>IF(Q117="Debt", (1+((S117-MIN(interest_rates))*(4)/(MAX(interest_rates) - MIN(interest_rates)))), "")</f>
        <v/>
      </c>
      <c r="EG117" s="114" t="str">
        <f>IF(OR(Q117="Revenue Share", Q117="Profit Share"), (1+((R117-MIN(return_mutiples))*(4)/(MAX(return_mutiples) - MIN(return_mutiples)))), "")</f>
        <v/>
      </c>
      <c r="EH117" s="115">
        <f t="shared" si="18"/>
        <v>4</v>
      </c>
      <c r="EI117" s="116" t="str">
        <f t="shared" si="19"/>
        <v>SAFE</v>
      </c>
      <c r="EJ117" s="117">
        <f t="shared" si="20"/>
        <v>0.3561643836</v>
      </c>
      <c r="EK117" s="116" t="str">
        <f t="shared" si="21"/>
        <v>Early</v>
      </c>
      <c r="EL117" s="112"/>
      <c r="EM117" s="118">
        <f t="shared" si="22"/>
        <v>2.7</v>
      </c>
      <c r="EN117" s="118">
        <f t="shared" si="23"/>
        <v>1.7</v>
      </c>
      <c r="EO117" s="119">
        <f t="shared" si="24"/>
        <v>4.4</v>
      </c>
      <c r="EP117" s="115">
        <f>1+((EO117-MIN(market_ratings_sums))*(4)/(MAX(market_ratings_sums) - MIN(market_ratings_sums)))</f>
        <v>2.192982456</v>
      </c>
      <c r="EQ117" s="116" t="str">
        <f t="shared" si="25"/>
        <v>Yes</v>
      </c>
      <c r="ER117" s="112"/>
      <c r="ES117" s="123">
        <f>1+((DX117-MIN(industry_experiences))*(4)/(MAX(industry_experiences) - MIN(industry_experiences)))</f>
        <v>2.904761905</v>
      </c>
      <c r="ET117" s="123">
        <f>1+((DY117-MIN(previous_startups))*(4)/(MAX(previous_startups) - MIN(previous_startups)))</f>
        <v>2.777777778</v>
      </c>
      <c r="EU117" s="123">
        <f>1+((DZ117-MIN(exits))*(4)/(MAX(exits) - MIN(exits)))</f>
        <v>2</v>
      </c>
      <c r="EV117" s="119">
        <f t="shared" si="26"/>
        <v>7.682539683</v>
      </c>
      <c r="EW117" s="124">
        <f>1+((EV117-MIN(team_ratings_sums))*(4)/(MAX(team_ratings_sums) - MIN(team_ratings_sums)))</f>
        <v>3.565217391</v>
      </c>
      <c r="EX117" s="116" t="str">
        <f t="shared" si="27"/>
        <v>55+</v>
      </c>
      <c r="EY117" s="125">
        <f t="shared" si="28"/>
        <v>0.1095890411</v>
      </c>
      <c r="EZ117" s="116">
        <f t="shared" si="29"/>
        <v>1</v>
      </c>
      <c r="FA117" s="125">
        <f t="shared" si="30"/>
        <v>0.4383561644</v>
      </c>
      <c r="FB117" s="116">
        <f t="shared" si="31"/>
        <v>8</v>
      </c>
      <c r="FC117" s="125">
        <f t="shared" si="32"/>
        <v>0.05479452055</v>
      </c>
      <c r="FD117" s="116" t="str">
        <f t="shared" si="33"/>
        <v>No</v>
      </c>
      <c r="FE117" s="125">
        <f t="shared" si="34"/>
        <v>0.7534246575</v>
      </c>
      <c r="FF117" s="116" t="str">
        <f t="shared" ref="FF117:FH117" si="294">BJ117</f>
        <v>No</v>
      </c>
      <c r="FG117" s="116" t="str">
        <f t="shared" si="294"/>
        <v>No</v>
      </c>
      <c r="FH117" s="116" t="str">
        <f t="shared" si="294"/>
        <v>No</v>
      </c>
      <c r="FI117" s="112"/>
      <c r="FJ117" s="116" t="str">
        <f t="shared" si="36"/>
        <v>Transactional</v>
      </c>
      <c r="FK117" s="125">
        <f t="shared" si="37"/>
        <v>0.602739726</v>
      </c>
      <c r="FL117" s="116" t="str">
        <f t="shared" si="38"/>
        <v>B2B/B2C</v>
      </c>
      <c r="FM117" s="125">
        <f t="shared" si="39"/>
        <v>0.3287671233</v>
      </c>
      <c r="FN117" s="116" t="str">
        <f t="shared" si="40"/>
        <v>Low</v>
      </c>
      <c r="FO117" s="125">
        <f t="shared" si="41"/>
        <v>0.4383561644</v>
      </c>
      <c r="FP117" s="116" t="str">
        <f t="shared" si="42"/>
        <v>Low</v>
      </c>
      <c r="FQ117" s="125">
        <f t="shared" si="43"/>
        <v>0.3561643836</v>
      </c>
      <c r="FR117" s="112"/>
      <c r="FS117" s="123">
        <f t="shared" si="44"/>
        <v>5</v>
      </c>
      <c r="FT117" s="123">
        <f t="shared" si="45"/>
        <v>1.9</v>
      </c>
      <c r="FU117" s="123">
        <f t="shared" si="46"/>
        <v>5</v>
      </c>
      <c r="FV117" s="123">
        <f t="shared" si="47"/>
        <v>2.8</v>
      </c>
      <c r="FW117" s="119">
        <f t="shared" si="48"/>
        <v>14.7</v>
      </c>
      <c r="FX117" s="115">
        <f>1+((FW117-MIN(performance_ratings_sums))*(4)/(MAX(performance_ratings_sums) - MIN(performance_ratings_sums)))</f>
        <v>3.990654206</v>
      </c>
      <c r="FY117" s="116" t="str">
        <f t="shared" si="49"/>
        <v>Pre-Profit</v>
      </c>
      <c r="FZ117" s="126">
        <f t="shared" si="50"/>
        <v>0.4931506849</v>
      </c>
      <c r="GA117" s="112"/>
      <c r="GB117" s="127">
        <f t="shared" si="51"/>
        <v>5</v>
      </c>
      <c r="GC117" s="116" t="str">
        <f t="shared" si="52"/>
        <v>No</v>
      </c>
      <c r="GD117" s="126">
        <f t="shared" si="53"/>
        <v>0.7671232877</v>
      </c>
      <c r="GE117" s="126" t="str">
        <f t="shared" si="54"/>
        <v>Low</v>
      </c>
      <c r="GF117" s="126">
        <f t="shared" si="55"/>
        <v>0.5479452055</v>
      </c>
      <c r="GG117" s="126" t="str">
        <f t="shared" si="56"/>
        <v>Low</v>
      </c>
      <c r="GH117" s="126">
        <f t="shared" si="57"/>
        <v>0.1917808219</v>
      </c>
      <c r="GI117" s="112"/>
      <c r="GJ117" s="116"/>
      <c r="GK117" s="119">
        <f t="shared" si="58"/>
        <v>18.74885405</v>
      </c>
      <c r="GL117" s="128">
        <f>1+((GK117-MIN(ratings_sums))*(4)/(MAX(ratings_sums) - MIN(ratings_sums)))</f>
        <v>4.545493968</v>
      </c>
    </row>
    <row r="118" ht="15.75" customHeight="1">
      <c r="A118" s="161" t="s">
        <v>681</v>
      </c>
      <c r="B118" s="15">
        <v>1791548.0</v>
      </c>
      <c r="C118" s="162" t="s">
        <v>1046</v>
      </c>
      <c r="D118" s="163">
        <v>43839.490277777775</v>
      </c>
      <c r="E118" s="15" t="s">
        <v>369</v>
      </c>
      <c r="F118" s="164" t="s">
        <v>1047</v>
      </c>
      <c r="G118" s="164" t="s">
        <v>1048</v>
      </c>
      <c r="H118" s="173">
        <v>43839.0</v>
      </c>
      <c r="I118" s="162" t="s">
        <v>1049</v>
      </c>
      <c r="J118" s="162" t="s">
        <v>1046</v>
      </c>
      <c r="K118" s="15" t="s">
        <v>457</v>
      </c>
      <c r="L118" s="15" t="s">
        <v>390</v>
      </c>
      <c r="M118" s="15" t="s">
        <v>31</v>
      </c>
      <c r="N118" s="15" t="s">
        <v>82</v>
      </c>
      <c r="O118" s="15" t="s">
        <v>35</v>
      </c>
      <c r="Q118" s="15" t="s">
        <v>195</v>
      </c>
      <c r="R118" s="166"/>
      <c r="S118" s="120"/>
      <c r="T118" s="69"/>
      <c r="U118" s="69">
        <v>8000000.0</v>
      </c>
      <c r="V118" s="132">
        <v>0.15</v>
      </c>
      <c r="W118" s="96">
        <f t="shared" si="125"/>
        <v>6800000</v>
      </c>
      <c r="X118" s="98">
        <f t="shared" si="126"/>
        <v>6800000</v>
      </c>
      <c r="Y118" s="99" t="str">
        <f t="shared" si="127"/>
        <v>$6M - $8M</v>
      </c>
      <c r="Z118" s="15" t="s">
        <v>86</v>
      </c>
      <c r="AA118" s="15" t="s">
        <v>87</v>
      </c>
      <c r="AB118" s="15" t="s">
        <v>38</v>
      </c>
      <c r="AC118" s="15" t="s">
        <v>469</v>
      </c>
      <c r="AD118" s="15" t="s">
        <v>89</v>
      </c>
      <c r="AE118" s="15" t="s">
        <v>39</v>
      </c>
      <c r="AF118" s="15" t="s">
        <v>469</v>
      </c>
      <c r="AG118" s="69">
        <v>5.0E10</v>
      </c>
      <c r="AH118" s="97" t="str">
        <f t="shared" si="128"/>
        <v>$50B-$100B</v>
      </c>
      <c r="AI118" s="69">
        <v>1.0E9</v>
      </c>
      <c r="AJ118" s="97" t="str">
        <f t="shared" si="129"/>
        <v>$1B-$5B</v>
      </c>
      <c r="AK118" s="167">
        <v>0.03</v>
      </c>
      <c r="AL118" s="88" t="str">
        <f t="shared" si="130"/>
        <v>0%-10%</v>
      </c>
      <c r="AM118" s="15">
        <v>500.0</v>
      </c>
      <c r="AN118" s="15" t="s">
        <v>89</v>
      </c>
      <c r="AO118" s="15" t="s">
        <v>89</v>
      </c>
      <c r="AP118" s="15" t="s">
        <v>40</v>
      </c>
      <c r="AQ118" s="168" t="s">
        <v>89</v>
      </c>
      <c r="AR118" s="168" t="s">
        <v>39</v>
      </c>
      <c r="AS118" s="15" t="s">
        <v>469</v>
      </c>
      <c r="AT118" s="15" t="s">
        <v>469</v>
      </c>
      <c r="AU118" s="15" t="s">
        <v>493</v>
      </c>
      <c r="AV118" s="15" t="s">
        <v>493</v>
      </c>
      <c r="AW118" s="69">
        <v>906604.0</v>
      </c>
      <c r="AX118" s="96" t="str">
        <f t="shared" si="131"/>
        <v>$500K - $1M</v>
      </c>
      <c r="AY118" s="69">
        <v>19642.0</v>
      </c>
      <c r="AZ118" s="69">
        <v>0.0</v>
      </c>
      <c r="BA118" s="103" t="str">
        <f t="shared" si="132"/>
        <v>&lt; $10K</v>
      </c>
      <c r="BB118" s="103">
        <f t="shared" si="133"/>
        <v>1</v>
      </c>
      <c r="BC118" s="103" t="str">
        <f t="shared" si="134"/>
        <v>90% - 100%</v>
      </c>
      <c r="BD118" s="15" t="s">
        <v>107</v>
      </c>
      <c r="BF118" s="15" t="s">
        <v>493</v>
      </c>
      <c r="BG118" s="15">
        <v>1.0</v>
      </c>
      <c r="BH118" s="15">
        <v>2.0</v>
      </c>
      <c r="BI118" s="15" t="s">
        <v>493</v>
      </c>
      <c r="BJ118" s="15" t="s">
        <v>493</v>
      </c>
      <c r="BK118" s="15" t="s">
        <v>493</v>
      </c>
      <c r="BL118" s="15" t="s">
        <v>469</v>
      </c>
      <c r="BM118" s="15">
        <v>1.0</v>
      </c>
      <c r="BN118" s="15">
        <v>24.0</v>
      </c>
      <c r="BO118" s="15">
        <v>2.0</v>
      </c>
      <c r="BP118" s="15">
        <v>0.0</v>
      </c>
      <c r="BQ118" s="108"/>
      <c r="BR118" s="15">
        <v>0.0</v>
      </c>
      <c r="BS118" s="15">
        <v>0.0</v>
      </c>
      <c r="BT118" s="15">
        <v>0.0</v>
      </c>
      <c r="BU118" s="15">
        <v>30.0</v>
      </c>
      <c r="BV118" s="15" t="s">
        <v>469</v>
      </c>
      <c r="BW118" s="108"/>
      <c r="BX118" s="15">
        <v>0.0</v>
      </c>
      <c r="BY118" s="15">
        <v>0.0</v>
      </c>
      <c r="BZ118" s="15">
        <v>0.0</v>
      </c>
      <c r="CA118" s="15">
        <v>30.0</v>
      </c>
      <c r="CB118" s="15" t="s">
        <v>469</v>
      </c>
      <c r="CC118" s="108"/>
      <c r="CI118" s="108"/>
      <c r="CO118" s="108"/>
      <c r="CU118" s="108"/>
      <c r="DA118" s="108"/>
      <c r="DG118" s="108"/>
      <c r="DM118" s="108"/>
      <c r="DS118" s="108"/>
      <c r="DT118" s="108"/>
      <c r="DU118" s="108"/>
      <c r="DW118" s="109"/>
      <c r="DX118" s="110">
        <f t="shared" si="13"/>
        <v>0</v>
      </c>
      <c r="DY118" s="111">
        <f t="shared" ref="DY118:DZ118" si="295">sum(BS118,BY118,CE118,CK118,CQ118,CW118,DC118,DI118,DO118)</f>
        <v>0</v>
      </c>
      <c r="DZ118" s="111">
        <f t="shared" si="295"/>
        <v>0</v>
      </c>
      <c r="EA118" s="110">
        <f t="shared" si="15"/>
        <v>30</v>
      </c>
      <c r="EB118" s="99" t="str">
        <f t="shared" si="16"/>
        <v>20 - 34</v>
      </c>
      <c r="EC118" s="112"/>
      <c r="ED118" s="113">
        <f t="shared" si="17"/>
        <v>4.2</v>
      </c>
      <c r="EE118" s="114">
        <f>IF(V118 &lt;&gt; "", 1+((V118-MIN(discount_rates))*(4)/(MAX(discount_rates) - MIN(discount_rates))), "")</f>
        <v>2.578947368</v>
      </c>
      <c r="EF118" s="114" t="str">
        <f>IF(Q118="Debt", (1+((S118-MIN(interest_rates))*(4)/(MAX(interest_rates) - MIN(interest_rates)))), "")</f>
        <v/>
      </c>
      <c r="EG118" s="114" t="str">
        <f>IF(OR(Q118="Revenue Share", Q118="Profit Share"), (1+((R118-MIN(return_mutiples))*(4)/(MAX(return_mutiples) - MIN(return_mutiples)))), "")</f>
        <v/>
      </c>
      <c r="EH118" s="115">
        <f t="shared" si="18"/>
        <v>4.2</v>
      </c>
      <c r="EI118" s="116" t="str">
        <f t="shared" si="19"/>
        <v>SAFE</v>
      </c>
      <c r="EJ118" s="117">
        <f t="shared" si="20"/>
        <v>0.3561643836</v>
      </c>
      <c r="EK118" s="116" t="str">
        <f t="shared" si="21"/>
        <v>Early</v>
      </c>
      <c r="EL118" s="112"/>
      <c r="EM118" s="118">
        <f t="shared" si="22"/>
        <v>2.7</v>
      </c>
      <c r="EN118" s="118">
        <f t="shared" si="23"/>
        <v>1.7</v>
      </c>
      <c r="EO118" s="119">
        <f t="shared" si="24"/>
        <v>4.4</v>
      </c>
      <c r="EP118" s="115">
        <f>1+((EO118-MIN(market_ratings_sums))*(4)/(MAX(market_ratings_sums) - MIN(market_ratings_sums)))</f>
        <v>2.192982456</v>
      </c>
      <c r="EQ118" s="116" t="str">
        <f t="shared" si="25"/>
        <v>No</v>
      </c>
      <c r="ER118" s="112"/>
      <c r="ES118" s="123">
        <f>1+((DX118-MIN(industry_experiences))*(4)/(MAX(industry_experiences) - MIN(industry_experiences)))</f>
        <v>1</v>
      </c>
      <c r="ET118" s="123">
        <f>1+((DY118-MIN(previous_startups))*(4)/(MAX(previous_startups) - MIN(previous_startups)))</f>
        <v>1</v>
      </c>
      <c r="EU118" s="123">
        <f>1+((DZ118-MIN(exits))*(4)/(MAX(exits) - MIN(exits)))</f>
        <v>1</v>
      </c>
      <c r="EV118" s="119">
        <f t="shared" si="26"/>
        <v>3</v>
      </c>
      <c r="EW118" s="124">
        <f>1+((EV118-MIN(team_ratings_sums))*(4)/(MAX(team_ratings_sums) - MIN(team_ratings_sums)))</f>
        <v>1</v>
      </c>
      <c r="EX118" s="116" t="str">
        <f t="shared" si="27"/>
        <v>20 - 34</v>
      </c>
      <c r="EY118" s="125">
        <f t="shared" si="28"/>
        <v>0.2054794521</v>
      </c>
      <c r="EZ118" s="116">
        <f t="shared" si="29"/>
        <v>2</v>
      </c>
      <c r="FA118" s="125">
        <f t="shared" si="30"/>
        <v>0.4520547945</v>
      </c>
      <c r="FB118" s="116">
        <f t="shared" si="31"/>
        <v>24</v>
      </c>
      <c r="FC118" s="125">
        <f t="shared" si="32"/>
        <v>0</v>
      </c>
      <c r="FD118" s="116" t="str">
        <f t="shared" si="33"/>
        <v>Yes</v>
      </c>
      <c r="FE118" s="125">
        <f t="shared" si="34"/>
        <v>0.2465753425</v>
      </c>
      <c r="FF118" s="116" t="str">
        <f t="shared" ref="FF118:FH118" si="296">BJ118</f>
        <v>Yes</v>
      </c>
      <c r="FG118" s="116" t="str">
        <f t="shared" si="296"/>
        <v>Yes</v>
      </c>
      <c r="FH118" s="116" t="str">
        <f t="shared" si="296"/>
        <v>No</v>
      </c>
      <c r="FI118" s="112"/>
      <c r="FJ118" s="116" t="str">
        <f t="shared" si="36"/>
        <v>Recurring</v>
      </c>
      <c r="FK118" s="125">
        <f t="shared" si="37"/>
        <v>0.397260274</v>
      </c>
      <c r="FL118" s="116" t="str">
        <f t="shared" si="38"/>
        <v>B2C</v>
      </c>
      <c r="FM118" s="125">
        <f t="shared" si="39"/>
        <v>0.397260274</v>
      </c>
      <c r="FN118" s="116" t="str">
        <f t="shared" si="40"/>
        <v>Low</v>
      </c>
      <c r="FO118" s="125">
        <f t="shared" si="41"/>
        <v>0.4383561644</v>
      </c>
      <c r="FP118" s="116" t="str">
        <f t="shared" si="42"/>
        <v>High</v>
      </c>
      <c r="FQ118" s="125">
        <f t="shared" si="43"/>
        <v>0.6438356164</v>
      </c>
      <c r="FR118" s="112"/>
      <c r="FS118" s="123">
        <f t="shared" si="44"/>
        <v>5</v>
      </c>
      <c r="FT118" s="123">
        <f t="shared" si="45"/>
        <v>2.8</v>
      </c>
      <c r="FU118" s="123">
        <f t="shared" si="46"/>
        <v>1</v>
      </c>
      <c r="FV118" s="123">
        <f t="shared" si="47"/>
        <v>5</v>
      </c>
      <c r="FW118" s="119">
        <f t="shared" si="48"/>
        <v>13.8</v>
      </c>
      <c r="FX118" s="115">
        <f>1+((FW118-MIN(performance_ratings_sums))*(4)/(MAX(performance_ratings_sums) - MIN(performance_ratings_sums)))</f>
        <v>3.654205607</v>
      </c>
      <c r="FY118" s="116" t="str">
        <f t="shared" si="49"/>
        <v>Pre-Profit</v>
      </c>
      <c r="FZ118" s="126">
        <f t="shared" si="50"/>
        <v>0.4931506849</v>
      </c>
      <c r="GA118" s="112"/>
      <c r="GB118" s="127">
        <f t="shared" si="51"/>
        <v>1</v>
      </c>
      <c r="GC118" s="116" t="str">
        <f t="shared" si="52"/>
        <v>No</v>
      </c>
      <c r="GD118" s="126">
        <f t="shared" si="53"/>
        <v>0.7671232877</v>
      </c>
      <c r="GE118" s="126" t="str">
        <f t="shared" si="54"/>
        <v>Low</v>
      </c>
      <c r="GF118" s="126">
        <f t="shared" si="55"/>
        <v>0.5479452055</v>
      </c>
      <c r="GG118" s="126" t="str">
        <f t="shared" si="56"/>
        <v>High</v>
      </c>
      <c r="GH118" s="126">
        <f t="shared" si="57"/>
        <v>0.8082191781</v>
      </c>
      <c r="GI118" s="112"/>
      <c r="GJ118" s="116"/>
      <c r="GK118" s="119">
        <f t="shared" si="58"/>
        <v>12.04718806</v>
      </c>
      <c r="GL118" s="128">
        <f>1+((GK118-MIN(ratings_sums))*(4)/(MAX(ratings_sums) - MIN(ratings_sums)))</f>
        <v>2.489154994</v>
      </c>
    </row>
    <row r="119" ht="15.75" customHeight="1">
      <c r="A119" s="161" t="s">
        <v>681</v>
      </c>
      <c r="B119" s="15">
        <v>1793576.0</v>
      </c>
      <c r="C119" s="162" t="s">
        <v>1050</v>
      </c>
      <c r="D119" s="163">
        <v>43840.501388888886</v>
      </c>
      <c r="E119" s="15" t="s">
        <v>350</v>
      </c>
      <c r="F119" s="164" t="s">
        <v>1051</v>
      </c>
      <c r="G119" s="164" t="s">
        <v>1052</v>
      </c>
      <c r="H119" s="173">
        <v>43839.0</v>
      </c>
      <c r="I119" s="162" t="s">
        <v>1053</v>
      </c>
      <c r="J119" s="162" t="s">
        <v>1050</v>
      </c>
      <c r="K119" s="15" t="s">
        <v>220</v>
      </c>
      <c r="L119" s="15" t="s">
        <v>117</v>
      </c>
      <c r="M119" s="15" t="s">
        <v>31</v>
      </c>
      <c r="N119" s="15" t="s">
        <v>32</v>
      </c>
      <c r="O119" s="15" t="s">
        <v>35</v>
      </c>
      <c r="Q119" s="15" t="s">
        <v>121</v>
      </c>
      <c r="R119" s="166"/>
      <c r="S119" s="120"/>
      <c r="T119" s="69">
        <v>3745000.0</v>
      </c>
      <c r="V119" s="132"/>
      <c r="W119" s="96" t="str">
        <f t="shared" si="125"/>
        <v/>
      </c>
      <c r="X119" s="98">
        <f t="shared" si="126"/>
        <v>3745000</v>
      </c>
      <c r="Y119" s="99" t="str">
        <f t="shared" si="127"/>
        <v>$2M - $4M</v>
      </c>
      <c r="Z119" s="15" t="s">
        <v>36</v>
      </c>
      <c r="AA119" s="15" t="s">
        <v>87</v>
      </c>
      <c r="AB119" s="15" t="s">
        <v>38</v>
      </c>
      <c r="AC119" s="15" t="s">
        <v>469</v>
      </c>
      <c r="AD119" s="15" t="s">
        <v>89</v>
      </c>
      <c r="AE119" s="15" t="s">
        <v>39</v>
      </c>
      <c r="AF119" s="15" t="s">
        <v>469</v>
      </c>
      <c r="AG119" s="69">
        <v>1.2E11</v>
      </c>
      <c r="AH119" s="97" t="str">
        <f t="shared" si="128"/>
        <v>$100B-$250B</v>
      </c>
      <c r="AI119" s="69">
        <v>5.0E9</v>
      </c>
      <c r="AJ119" s="97" t="str">
        <f t="shared" si="129"/>
        <v>$5B-$10B</v>
      </c>
      <c r="AK119" s="167">
        <v>0.2</v>
      </c>
      <c r="AL119" s="88" t="str">
        <f t="shared" si="130"/>
        <v>10%-20%</v>
      </c>
      <c r="AM119" s="15">
        <v>20.0</v>
      </c>
      <c r="AN119" s="15" t="s">
        <v>39</v>
      </c>
      <c r="AO119" s="15" t="s">
        <v>89</v>
      </c>
      <c r="AP119" s="15" t="s">
        <v>40</v>
      </c>
      <c r="AQ119" s="168" t="s">
        <v>39</v>
      </c>
      <c r="AR119" s="168" t="s">
        <v>89</v>
      </c>
      <c r="AS119" s="15" t="s">
        <v>469</v>
      </c>
      <c r="AT119" s="15" t="s">
        <v>469</v>
      </c>
      <c r="AU119" s="15" t="s">
        <v>469</v>
      </c>
      <c r="AV119" s="15" t="s">
        <v>469</v>
      </c>
      <c r="AW119" s="69">
        <v>0.0</v>
      </c>
      <c r="AX119" s="96" t="str">
        <f t="shared" si="131"/>
        <v>&lt; $10K</v>
      </c>
      <c r="AY119" s="69">
        <v>438.0</v>
      </c>
      <c r="AZ119" s="69">
        <v>0.0</v>
      </c>
      <c r="BA119" s="103" t="str">
        <f t="shared" si="132"/>
        <v>&lt; $10K</v>
      </c>
      <c r="BB119" s="103">
        <f t="shared" si="133"/>
        <v>1</v>
      </c>
      <c r="BC119" s="103" t="str">
        <f t="shared" si="134"/>
        <v>90% - 100%</v>
      </c>
      <c r="BD119" s="15" t="s">
        <v>91</v>
      </c>
      <c r="BF119" s="15" t="s">
        <v>469</v>
      </c>
      <c r="BG119" s="15">
        <v>0.0</v>
      </c>
      <c r="BH119" s="15">
        <v>3.0</v>
      </c>
      <c r="BI119" s="15" t="s">
        <v>469</v>
      </c>
      <c r="BJ119" s="15" t="s">
        <v>493</v>
      </c>
      <c r="BK119" s="15" t="s">
        <v>469</v>
      </c>
      <c r="BL119" s="15" t="s">
        <v>469</v>
      </c>
      <c r="BM119" s="15">
        <v>3.0</v>
      </c>
      <c r="BN119" s="15">
        <v>1.0</v>
      </c>
      <c r="BO119" s="15">
        <v>1.0</v>
      </c>
      <c r="BP119" s="15">
        <v>0.0</v>
      </c>
      <c r="BQ119" s="108"/>
      <c r="BR119" s="15">
        <v>30.0</v>
      </c>
      <c r="BS119" s="15">
        <v>1.0</v>
      </c>
      <c r="BT119" s="15">
        <v>0.0</v>
      </c>
      <c r="BU119" s="15">
        <v>55.0</v>
      </c>
      <c r="BV119" s="15" t="s">
        <v>469</v>
      </c>
      <c r="BW119" s="108"/>
      <c r="BX119" s="15">
        <v>20.0</v>
      </c>
      <c r="BY119" s="15">
        <v>0.0</v>
      </c>
      <c r="BZ119" s="15">
        <v>0.0</v>
      </c>
      <c r="CA119" s="15">
        <v>55.0</v>
      </c>
      <c r="CB119" s="15" t="s">
        <v>469</v>
      </c>
      <c r="CC119" s="108"/>
      <c r="CD119" s="15">
        <v>10.0</v>
      </c>
      <c r="CE119" s="15">
        <v>0.0</v>
      </c>
      <c r="CF119" s="15">
        <v>0.0</v>
      </c>
      <c r="CG119" s="15">
        <v>50.0</v>
      </c>
      <c r="CH119" s="15" t="s">
        <v>469</v>
      </c>
      <c r="CI119" s="108"/>
      <c r="CO119" s="108"/>
      <c r="CU119" s="108"/>
      <c r="DA119" s="108"/>
      <c r="DG119" s="108"/>
      <c r="DM119" s="108"/>
      <c r="DS119" s="108"/>
      <c r="DT119" s="108"/>
      <c r="DU119" s="108"/>
      <c r="DW119" s="109"/>
      <c r="DX119" s="110">
        <f t="shared" si="13"/>
        <v>20</v>
      </c>
      <c r="DY119" s="111">
        <f t="shared" ref="DY119:DZ119" si="297">sum(BS119,BY119,CE119,CK119,CQ119,CW119,DC119,DI119,DO119)</f>
        <v>1</v>
      </c>
      <c r="DZ119" s="111">
        <f t="shared" si="297"/>
        <v>0</v>
      </c>
      <c r="EA119" s="110">
        <f t="shared" si="15"/>
        <v>53.33333333</v>
      </c>
      <c r="EB119" s="99" t="str">
        <f t="shared" si="16"/>
        <v>35 - 54</v>
      </c>
      <c r="EC119" s="112"/>
      <c r="ED119" s="113">
        <f t="shared" si="17"/>
        <v>4.6</v>
      </c>
      <c r="EE119" s="114" t="str">
        <f>IF(V119 &lt;&gt; "", 1+((V119-MIN(discount_rates))*(4)/(MAX(discount_rates) - MIN(discount_rates))), "")</f>
        <v/>
      </c>
      <c r="EF119" s="114" t="str">
        <f>IF(Q119="Debt", (1+((S119-MIN(interest_rates))*(4)/(MAX(interest_rates) - MIN(interest_rates)))), "")</f>
        <v/>
      </c>
      <c r="EG119" s="114" t="str">
        <f>IF(OR(Q119="Revenue Share", Q119="Profit Share"), (1+((R119-MIN(return_mutiples))*(4)/(MAX(return_mutiples) - MIN(return_mutiples)))), "")</f>
        <v/>
      </c>
      <c r="EH119" s="115">
        <f t="shared" si="18"/>
        <v>4.6</v>
      </c>
      <c r="EI119" s="116" t="str">
        <f t="shared" si="19"/>
        <v>Equity - Common</v>
      </c>
      <c r="EJ119" s="117">
        <f t="shared" si="20"/>
        <v>0.3287671233</v>
      </c>
      <c r="EK119" s="116" t="str">
        <f t="shared" si="21"/>
        <v>Early</v>
      </c>
      <c r="EL119" s="112"/>
      <c r="EM119" s="118">
        <f t="shared" si="22"/>
        <v>3</v>
      </c>
      <c r="EN119" s="118">
        <f t="shared" si="23"/>
        <v>2.3</v>
      </c>
      <c r="EO119" s="119">
        <f t="shared" si="24"/>
        <v>5.3</v>
      </c>
      <c r="EP119" s="115">
        <f>1+((EO119-MIN(market_ratings_sums))*(4)/(MAX(market_ratings_sums) - MIN(market_ratings_sums)))</f>
        <v>2.824561404</v>
      </c>
      <c r="EQ119" s="116" t="str">
        <f t="shared" si="25"/>
        <v>No</v>
      </c>
      <c r="ER119" s="112"/>
      <c r="ES119" s="123">
        <f>1+((DX119-MIN(industry_experiences))*(4)/(MAX(industry_experiences) - MIN(industry_experiences)))</f>
        <v>2.904761905</v>
      </c>
      <c r="ET119" s="123">
        <f>1+((DY119-MIN(previous_startups))*(4)/(MAX(previous_startups) - MIN(previous_startups)))</f>
        <v>1.444444444</v>
      </c>
      <c r="EU119" s="123">
        <f>1+((DZ119-MIN(exits))*(4)/(MAX(exits) - MIN(exits)))</f>
        <v>1</v>
      </c>
      <c r="EV119" s="119">
        <f t="shared" si="26"/>
        <v>5.349206349</v>
      </c>
      <c r="EW119" s="124">
        <f>1+((EV119-MIN(team_ratings_sums))*(4)/(MAX(team_ratings_sums) - MIN(team_ratings_sums)))</f>
        <v>2.286956522</v>
      </c>
      <c r="EX119" s="116" t="str">
        <f t="shared" si="27"/>
        <v>35 - 54</v>
      </c>
      <c r="EY119" s="125">
        <f t="shared" si="28"/>
        <v>0.6849315068</v>
      </c>
      <c r="EZ119" s="116">
        <f t="shared" si="29"/>
        <v>3</v>
      </c>
      <c r="FA119" s="125">
        <f t="shared" si="30"/>
        <v>0.05479452055</v>
      </c>
      <c r="FB119" s="116">
        <f t="shared" si="31"/>
        <v>1</v>
      </c>
      <c r="FC119" s="125">
        <f t="shared" si="32"/>
        <v>0.08219178082</v>
      </c>
      <c r="FD119" s="116" t="str">
        <f t="shared" si="33"/>
        <v>No</v>
      </c>
      <c r="FE119" s="125">
        <f t="shared" si="34"/>
        <v>0.7534246575</v>
      </c>
      <c r="FF119" s="116" t="str">
        <f t="shared" ref="FF119:FH119" si="298">BJ119</f>
        <v>Yes</v>
      </c>
      <c r="FG119" s="116" t="str">
        <f t="shared" si="298"/>
        <v>No</v>
      </c>
      <c r="FH119" s="116" t="str">
        <f t="shared" si="298"/>
        <v>No</v>
      </c>
      <c r="FI119" s="112"/>
      <c r="FJ119" s="116" t="str">
        <f t="shared" si="36"/>
        <v>Transactional</v>
      </c>
      <c r="FK119" s="125">
        <f t="shared" si="37"/>
        <v>0.602739726</v>
      </c>
      <c r="FL119" s="116" t="str">
        <f t="shared" si="38"/>
        <v>B2C</v>
      </c>
      <c r="FM119" s="125">
        <f t="shared" si="39"/>
        <v>0.397260274</v>
      </c>
      <c r="FN119" s="116" t="str">
        <f t="shared" si="40"/>
        <v>Low</v>
      </c>
      <c r="FO119" s="125">
        <f t="shared" si="41"/>
        <v>0.4383561644</v>
      </c>
      <c r="FP119" s="116" t="str">
        <f t="shared" si="42"/>
        <v>High</v>
      </c>
      <c r="FQ119" s="125">
        <f t="shared" si="43"/>
        <v>0.6438356164</v>
      </c>
      <c r="FR119" s="112"/>
      <c r="FS119" s="123">
        <f t="shared" si="44"/>
        <v>1</v>
      </c>
      <c r="FT119" s="123">
        <f t="shared" si="45"/>
        <v>1</v>
      </c>
      <c r="FU119" s="123">
        <f t="shared" si="46"/>
        <v>1</v>
      </c>
      <c r="FV119" s="123">
        <f t="shared" si="47"/>
        <v>5</v>
      </c>
      <c r="FW119" s="119">
        <f t="shared" si="48"/>
        <v>8</v>
      </c>
      <c r="FX119" s="115">
        <f>1+((FW119-MIN(performance_ratings_sums))*(4)/(MAX(performance_ratings_sums) - MIN(performance_ratings_sums)))</f>
        <v>1.485981308</v>
      </c>
      <c r="FY119" s="116" t="str">
        <f t="shared" si="49"/>
        <v>Pre-Revenue</v>
      </c>
      <c r="FZ119" s="126">
        <f t="shared" si="50"/>
        <v>0.2054794521</v>
      </c>
      <c r="GA119" s="112"/>
      <c r="GB119" s="127">
        <f t="shared" si="51"/>
        <v>3</v>
      </c>
      <c r="GC119" s="116" t="str">
        <f t="shared" si="52"/>
        <v>No</v>
      </c>
      <c r="GD119" s="126">
        <f t="shared" si="53"/>
        <v>0.7671232877</v>
      </c>
      <c r="GE119" s="126" t="str">
        <f t="shared" si="54"/>
        <v>High</v>
      </c>
      <c r="GF119" s="126">
        <f t="shared" si="55"/>
        <v>0.4520547945</v>
      </c>
      <c r="GG119" s="126" t="str">
        <f t="shared" si="56"/>
        <v>Low</v>
      </c>
      <c r="GH119" s="126">
        <f t="shared" si="57"/>
        <v>0.1917808219</v>
      </c>
      <c r="GI119" s="112"/>
      <c r="GJ119" s="116"/>
      <c r="GK119" s="119">
        <f t="shared" si="58"/>
        <v>14.19749923</v>
      </c>
      <c r="GL119" s="128">
        <f>1+((GK119-MIN(ratings_sums))*(4)/(MAX(ratings_sums) - MIN(ratings_sums)))</f>
        <v>3.148956404</v>
      </c>
    </row>
    <row r="120" ht="15.75" customHeight="1">
      <c r="A120" s="161" t="s">
        <v>681</v>
      </c>
      <c r="B120" s="15">
        <v>1478263.0</v>
      </c>
      <c r="C120" s="162" t="s">
        <v>1054</v>
      </c>
      <c r="D120" s="163">
        <v>43840.50763888889</v>
      </c>
      <c r="E120" s="15" t="s">
        <v>381</v>
      </c>
      <c r="F120" s="164" t="s">
        <v>1055</v>
      </c>
      <c r="G120" s="164" t="s">
        <v>1056</v>
      </c>
      <c r="H120" s="173">
        <v>43839.0</v>
      </c>
      <c r="I120" s="162" t="s">
        <v>1057</v>
      </c>
      <c r="J120" s="162" t="s">
        <v>1054</v>
      </c>
      <c r="K120" s="15" t="s">
        <v>457</v>
      </c>
      <c r="L120" s="15" t="s">
        <v>323</v>
      </c>
      <c r="M120" s="15" t="s">
        <v>81</v>
      </c>
      <c r="N120" s="15" t="s">
        <v>156</v>
      </c>
      <c r="O120" s="15" t="s">
        <v>35</v>
      </c>
      <c r="Q120" s="15" t="s">
        <v>135</v>
      </c>
      <c r="R120" s="166"/>
      <c r="S120" s="120"/>
      <c r="T120" s="69">
        <v>3.4108515E7</v>
      </c>
      <c r="U120" s="69"/>
      <c r="V120" s="132"/>
      <c r="W120" s="96" t="str">
        <f t="shared" si="125"/>
        <v/>
      </c>
      <c r="X120" s="98">
        <f t="shared" si="126"/>
        <v>34108515</v>
      </c>
      <c r="Y120" s="99" t="str">
        <f t="shared" si="127"/>
        <v>$34M - $36M</v>
      </c>
      <c r="Z120" s="15" t="s">
        <v>36</v>
      </c>
      <c r="AA120" s="15" t="s">
        <v>123</v>
      </c>
      <c r="AB120" s="15" t="s">
        <v>38</v>
      </c>
      <c r="AC120" s="15" t="s">
        <v>469</v>
      </c>
      <c r="AD120" s="15" t="s">
        <v>89</v>
      </c>
      <c r="AE120" s="15" t="s">
        <v>39</v>
      </c>
      <c r="AF120" s="15" t="s">
        <v>469</v>
      </c>
      <c r="AG120" s="69">
        <v>1.0E10</v>
      </c>
      <c r="AH120" s="97" t="str">
        <f t="shared" si="128"/>
        <v>$10B-$25B</v>
      </c>
      <c r="AI120" s="69">
        <v>1.0E9</v>
      </c>
      <c r="AJ120" s="97" t="str">
        <f t="shared" si="129"/>
        <v>$1B-$5B</v>
      </c>
      <c r="AK120" s="167">
        <v>0.06</v>
      </c>
      <c r="AL120" s="88" t="str">
        <f t="shared" si="130"/>
        <v>0%-10%</v>
      </c>
      <c r="AM120" s="15">
        <v>50.0</v>
      </c>
      <c r="AN120" s="15" t="s">
        <v>39</v>
      </c>
      <c r="AO120" s="15" t="s">
        <v>89</v>
      </c>
      <c r="AP120" s="15" t="s">
        <v>90</v>
      </c>
      <c r="AQ120" s="168" t="s">
        <v>89</v>
      </c>
      <c r="AR120" s="168" t="s">
        <v>39</v>
      </c>
      <c r="AS120" s="15" t="s">
        <v>469</v>
      </c>
      <c r="AT120" s="15" t="s">
        <v>493</v>
      </c>
      <c r="AU120" s="15" t="s">
        <v>493</v>
      </c>
      <c r="AV120" s="15" t="s">
        <v>493</v>
      </c>
      <c r="AW120" s="69">
        <v>4642737.0</v>
      </c>
      <c r="AX120" s="96" t="str">
        <f t="shared" si="131"/>
        <v>$4M - $5M</v>
      </c>
      <c r="AY120" s="69">
        <v>59817.0</v>
      </c>
      <c r="AZ120" s="69">
        <v>9000000.0</v>
      </c>
      <c r="BA120" s="103" t="str">
        <f t="shared" si="132"/>
        <v>&gt; $5M</v>
      </c>
      <c r="BB120" s="103">
        <f t="shared" si="133"/>
        <v>0.006646333333</v>
      </c>
      <c r="BC120" s="103" t="str">
        <f t="shared" si="134"/>
        <v>&lt; 10%</v>
      </c>
      <c r="BD120" s="15" t="s">
        <v>107</v>
      </c>
      <c r="BF120" s="15" t="s">
        <v>469</v>
      </c>
      <c r="BG120" s="15">
        <v>0.0</v>
      </c>
      <c r="BH120" s="15">
        <v>2.0</v>
      </c>
      <c r="BI120" s="15" t="s">
        <v>469</v>
      </c>
      <c r="BJ120" s="15" t="s">
        <v>469</v>
      </c>
      <c r="BK120" s="15" t="s">
        <v>469</v>
      </c>
      <c r="BL120" s="15" t="s">
        <v>469</v>
      </c>
      <c r="BM120" s="15">
        <v>3.0</v>
      </c>
      <c r="BN120" s="15">
        <v>11.0</v>
      </c>
      <c r="BO120" s="15">
        <v>0.0</v>
      </c>
      <c r="BP120" s="15">
        <v>0.0</v>
      </c>
      <c r="BQ120" s="108"/>
      <c r="BR120" s="15">
        <v>5.0</v>
      </c>
      <c r="BS120" s="15">
        <v>0.0</v>
      </c>
      <c r="BT120" s="15">
        <v>0.0</v>
      </c>
      <c r="BU120" s="15">
        <v>50.0</v>
      </c>
      <c r="BV120" s="15" t="s">
        <v>493</v>
      </c>
      <c r="BW120" s="108"/>
      <c r="BX120" s="15">
        <v>15.0</v>
      </c>
      <c r="BY120" s="15">
        <v>0.0</v>
      </c>
      <c r="BZ120" s="15">
        <v>0.0</v>
      </c>
      <c r="CA120" s="15">
        <v>50.0</v>
      </c>
      <c r="CB120" s="15" t="s">
        <v>469</v>
      </c>
      <c r="CC120" s="108"/>
      <c r="CI120" s="108"/>
      <c r="CO120" s="108"/>
      <c r="CU120" s="108"/>
      <c r="DA120" s="108"/>
      <c r="DG120" s="108"/>
      <c r="DM120" s="108"/>
      <c r="DS120" s="108"/>
      <c r="DT120" s="108"/>
      <c r="DU120" s="108"/>
      <c r="DW120" s="109"/>
      <c r="DX120" s="110">
        <f t="shared" si="13"/>
        <v>10</v>
      </c>
      <c r="DY120" s="111">
        <f t="shared" ref="DY120:DZ120" si="299">sum(BS120,BY120,CE120,CK120,CQ120,CW120,DC120,DI120,DO120)</f>
        <v>0</v>
      </c>
      <c r="DZ120" s="111">
        <f t="shared" si="299"/>
        <v>0</v>
      </c>
      <c r="EA120" s="110">
        <f t="shared" si="15"/>
        <v>50</v>
      </c>
      <c r="EB120" s="99" t="str">
        <f t="shared" si="16"/>
        <v>35 - 54</v>
      </c>
      <c r="EC120" s="112"/>
      <c r="ED120" s="113">
        <f t="shared" si="17"/>
        <v>1.6</v>
      </c>
      <c r="EE120" s="114" t="str">
        <f>IF(V120 &lt;&gt; "", 1+((V120-MIN(discount_rates))*(4)/(MAX(discount_rates) - MIN(discount_rates))), "")</f>
        <v/>
      </c>
      <c r="EF120" s="114" t="str">
        <f>IF(Q120="Debt", (1+((S120-MIN(interest_rates))*(4)/(MAX(interest_rates) - MIN(interest_rates)))), "")</f>
        <v/>
      </c>
      <c r="EG120" s="114" t="str">
        <f>IF(OR(Q120="Revenue Share", Q120="Profit Share"), (1+((R120-MIN(return_mutiples))*(4)/(MAX(return_mutiples) - MIN(return_mutiples)))), "")</f>
        <v/>
      </c>
      <c r="EH120" s="115">
        <f t="shared" si="18"/>
        <v>1.6</v>
      </c>
      <c r="EI120" s="116" t="str">
        <f t="shared" si="19"/>
        <v>Equity - Preferred</v>
      </c>
      <c r="EJ120" s="117">
        <f t="shared" si="20"/>
        <v>0.06849315068</v>
      </c>
      <c r="EK120" s="116" t="str">
        <f t="shared" si="21"/>
        <v>Growth</v>
      </c>
      <c r="EL120" s="112"/>
      <c r="EM120" s="118">
        <f t="shared" si="22"/>
        <v>2.7</v>
      </c>
      <c r="EN120" s="118">
        <f t="shared" si="23"/>
        <v>1.7</v>
      </c>
      <c r="EO120" s="119">
        <f t="shared" si="24"/>
        <v>4.4</v>
      </c>
      <c r="EP120" s="115">
        <f>1+((EO120-MIN(market_ratings_sums))*(4)/(MAX(market_ratings_sums) - MIN(market_ratings_sums)))</f>
        <v>2.192982456</v>
      </c>
      <c r="EQ120" s="116" t="str">
        <f t="shared" si="25"/>
        <v>No</v>
      </c>
      <c r="ER120" s="112"/>
      <c r="ES120" s="123">
        <f>1+((DX120-MIN(industry_experiences))*(4)/(MAX(industry_experiences) - MIN(industry_experiences)))</f>
        <v>1.952380952</v>
      </c>
      <c r="ET120" s="123">
        <f>1+((DY120-MIN(previous_startups))*(4)/(MAX(previous_startups) - MIN(previous_startups)))</f>
        <v>1</v>
      </c>
      <c r="EU120" s="123">
        <f>1+((DZ120-MIN(exits))*(4)/(MAX(exits) - MIN(exits)))</f>
        <v>1</v>
      </c>
      <c r="EV120" s="119">
        <f t="shared" si="26"/>
        <v>3.952380952</v>
      </c>
      <c r="EW120" s="124">
        <f>1+((EV120-MIN(team_ratings_sums))*(4)/(MAX(team_ratings_sums) - MIN(team_ratings_sums)))</f>
        <v>1.52173913</v>
      </c>
      <c r="EX120" s="116" t="str">
        <f t="shared" si="27"/>
        <v>35 - 54</v>
      </c>
      <c r="EY120" s="125">
        <f t="shared" si="28"/>
        <v>0.6849315068</v>
      </c>
      <c r="EZ120" s="116">
        <f t="shared" si="29"/>
        <v>2</v>
      </c>
      <c r="FA120" s="125">
        <f t="shared" si="30"/>
        <v>0.4520547945</v>
      </c>
      <c r="FB120" s="116">
        <f t="shared" si="31"/>
        <v>11</v>
      </c>
      <c r="FC120" s="125">
        <f t="shared" si="32"/>
        <v>0.02739726027</v>
      </c>
      <c r="FD120" s="116" t="str">
        <f t="shared" si="33"/>
        <v>No</v>
      </c>
      <c r="FE120" s="125">
        <f t="shared" si="34"/>
        <v>0.7534246575</v>
      </c>
      <c r="FF120" s="116" t="str">
        <f t="shared" ref="FF120:FH120" si="300">BJ120</f>
        <v>No</v>
      </c>
      <c r="FG120" s="116" t="str">
        <f t="shared" si="300"/>
        <v>No</v>
      </c>
      <c r="FH120" s="116" t="str">
        <f t="shared" si="300"/>
        <v>No</v>
      </c>
      <c r="FI120" s="112"/>
      <c r="FJ120" s="116" t="str">
        <f t="shared" si="36"/>
        <v>Transactional</v>
      </c>
      <c r="FK120" s="125">
        <f t="shared" si="37"/>
        <v>0.602739726</v>
      </c>
      <c r="FL120" s="116" t="str">
        <f t="shared" si="38"/>
        <v>B2B/B2C</v>
      </c>
      <c r="FM120" s="125">
        <f t="shared" si="39"/>
        <v>0.3287671233</v>
      </c>
      <c r="FN120" s="116" t="str">
        <f t="shared" si="40"/>
        <v>Low</v>
      </c>
      <c r="FO120" s="125">
        <f t="shared" si="41"/>
        <v>0.4383561644</v>
      </c>
      <c r="FP120" s="116" t="str">
        <f t="shared" si="42"/>
        <v>High</v>
      </c>
      <c r="FQ120" s="125">
        <f t="shared" si="43"/>
        <v>0.6438356164</v>
      </c>
      <c r="FR120" s="112"/>
      <c r="FS120" s="123">
        <f t="shared" si="44"/>
        <v>5</v>
      </c>
      <c r="FT120" s="123">
        <f t="shared" si="45"/>
        <v>4.6</v>
      </c>
      <c r="FU120" s="123">
        <f t="shared" si="46"/>
        <v>5</v>
      </c>
      <c r="FV120" s="123">
        <f t="shared" si="47"/>
        <v>1</v>
      </c>
      <c r="FW120" s="119">
        <f t="shared" si="48"/>
        <v>15.6</v>
      </c>
      <c r="FX120" s="115">
        <f>1+((FW120-MIN(performance_ratings_sums))*(4)/(MAX(performance_ratings_sums) - MIN(performance_ratings_sums)))</f>
        <v>4.327102804</v>
      </c>
      <c r="FY120" s="116" t="str">
        <f t="shared" si="49"/>
        <v>Pre-Profit</v>
      </c>
      <c r="FZ120" s="126">
        <f t="shared" si="50"/>
        <v>0.4931506849</v>
      </c>
      <c r="GA120" s="112"/>
      <c r="GB120" s="127">
        <f t="shared" si="51"/>
        <v>3</v>
      </c>
      <c r="GC120" s="116" t="str">
        <f t="shared" si="52"/>
        <v>Yes</v>
      </c>
      <c r="GD120" s="126">
        <f t="shared" si="53"/>
        <v>0.2328767123</v>
      </c>
      <c r="GE120" s="126" t="str">
        <f t="shared" si="54"/>
        <v>Low</v>
      </c>
      <c r="GF120" s="126">
        <f t="shared" si="55"/>
        <v>0.5479452055</v>
      </c>
      <c r="GG120" s="126" t="str">
        <f t="shared" si="56"/>
        <v>High</v>
      </c>
      <c r="GH120" s="126">
        <f t="shared" si="57"/>
        <v>0.8082191781</v>
      </c>
      <c r="GI120" s="112"/>
      <c r="GJ120" s="116"/>
      <c r="GK120" s="119">
        <f t="shared" si="58"/>
        <v>12.64182439</v>
      </c>
      <c r="GL120" s="128">
        <f>1+((GK120-MIN(ratings_sums))*(4)/(MAX(ratings_sums) - MIN(ratings_sums)))</f>
        <v>2.671613185</v>
      </c>
    </row>
    <row r="121" ht="15.75" customHeight="1">
      <c r="A121" s="161" t="s">
        <v>681</v>
      </c>
      <c r="B121" s="15">
        <v>1796619.0</v>
      </c>
      <c r="C121" s="162" t="s">
        <v>1058</v>
      </c>
      <c r="D121" s="163">
        <v>43875.49930555555</v>
      </c>
      <c r="E121" s="15" t="s">
        <v>350</v>
      </c>
      <c r="F121" s="164" t="s">
        <v>1059</v>
      </c>
      <c r="G121" s="164" t="s">
        <v>1060</v>
      </c>
      <c r="H121" s="173">
        <v>43875.0</v>
      </c>
      <c r="I121" s="162" t="s">
        <v>1061</v>
      </c>
      <c r="J121" s="162" t="s">
        <v>1058</v>
      </c>
      <c r="K121" s="15" t="s">
        <v>433</v>
      </c>
      <c r="L121" s="15" t="s">
        <v>390</v>
      </c>
      <c r="M121" s="15" t="s">
        <v>31</v>
      </c>
      <c r="N121" s="15" t="s">
        <v>32</v>
      </c>
      <c r="O121" s="15" t="s">
        <v>35</v>
      </c>
      <c r="Q121" s="15" t="s">
        <v>121</v>
      </c>
      <c r="R121" s="166"/>
      <c r="S121" s="120"/>
      <c r="T121" s="69">
        <v>2800000.0</v>
      </c>
      <c r="V121" s="132"/>
      <c r="W121" s="96" t="str">
        <f t="shared" si="125"/>
        <v/>
      </c>
      <c r="X121" s="98">
        <f t="shared" si="126"/>
        <v>2800000</v>
      </c>
      <c r="Y121" s="99" t="str">
        <f t="shared" si="127"/>
        <v>$2M - $4M</v>
      </c>
      <c r="Z121" s="15" t="s">
        <v>86</v>
      </c>
      <c r="AA121" s="15" t="s">
        <v>87</v>
      </c>
      <c r="AB121" s="15" t="s">
        <v>38</v>
      </c>
      <c r="AC121" s="15" t="s">
        <v>469</v>
      </c>
      <c r="AD121" s="15" t="s">
        <v>89</v>
      </c>
      <c r="AE121" s="15" t="s">
        <v>89</v>
      </c>
      <c r="AF121" s="15" t="s">
        <v>469</v>
      </c>
      <c r="AG121" s="69">
        <v>2.0E9</v>
      </c>
      <c r="AH121" s="97" t="str">
        <f t="shared" si="128"/>
        <v>$1B-$5B</v>
      </c>
      <c r="AI121" s="69">
        <v>1.0E9</v>
      </c>
      <c r="AJ121" s="97" t="str">
        <f t="shared" si="129"/>
        <v>$1B-$5B</v>
      </c>
      <c r="AK121" s="167">
        <v>0.05</v>
      </c>
      <c r="AL121" s="88" t="str">
        <f t="shared" si="130"/>
        <v>0%-10%</v>
      </c>
      <c r="AM121" s="15">
        <v>0.0</v>
      </c>
      <c r="AN121" s="15" t="s">
        <v>39</v>
      </c>
      <c r="AO121" s="15" t="s">
        <v>89</v>
      </c>
      <c r="AP121" s="15" t="s">
        <v>90</v>
      </c>
      <c r="AQ121" s="168" t="s">
        <v>89</v>
      </c>
      <c r="AR121" s="168" t="s">
        <v>39</v>
      </c>
      <c r="AS121" s="15" t="s">
        <v>469</v>
      </c>
      <c r="AT121" s="15" t="s">
        <v>469</v>
      </c>
      <c r="AU121" s="15" t="s">
        <v>493</v>
      </c>
      <c r="AV121" s="15" t="s">
        <v>493</v>
      </c>
      <c r="AW121" s="69">
        <v>110.0</v>
      </c>
      <c r="AX121" s="96" t="str">
        <f t="shared" si="131"/>
        <v>&lt; $10K</v>
      </c>
      <c r="AY121" s="69">
        <v>9090.0</v>
      </c>
      <c r="AZ121" s="69">
        <v>0.0</v>
      </c>
      <c r="BA121" s="103" t="str">
        <f t="shared" si="132"/>
        <v>&lt; $10K</v>
      </c>
      <c r="BB121" s="103">
        <f t="shared" si="133"/>
        <v>1</v>
      </c>
      <c r="BC121" s="103" t="str">
        <f t="shared" si="134"/>
        <v>90% - 100%</v>
      </c>
      <c r="BD121" s="15" t="s">
        <v>107</v>
      </c>
      <c r="BF121" s="15" t="s">
        <v>493</v>
      </c>
      <c r="BG121" s="15">
        <v>1.0</v>
      </c>
      <c r="BH121" s="15">
        <v>3.0</v>
      </c>
      <c r="BI121" s="15" t="s">
        <v>469</v>
      </c>
      <c r="BJ121" s="15" t="s">
        <v>469</v>
      </c>
      <c r="BK121" s="15" t="s">
        <v>469</v>
      </c>
      <c r="BL121" s="15" t="s">
        <v>469</v>
      </c>
      <c r="BM121" s="15">
        <v>2.0</v>
      </c>
      <c r="BN121" s="15">
        <v>2.0</v>
      </c>
      <c r="BO121" s="15">
        <v>0.0</v>
      </c>
      <c r="BP121" s="15">
        <v>0.0</v>
      </c>
      <c r="BQ121" s="108"/>
      <c r="BR121" s="15">
        <v>0.0</v>
      </c>
      <c r="BS121" s="15">
        <v>3.0</v>
      </c>
      <c r="BT121" s="15">
        <v>0.0</v>
      </c>
      <c r="BU121" s="15">
        <v>50.0</v>
      </c>
      <c r="BV121" s="15" t="s">
        <v>469</v>
      </c>
      <c r="BW121" s="108"/>
      <c r="BX121" s="15">
        <v>0.0</v>
      </c>
      <c r="BY121" s="15">
        <v>0.0</v>
      </c>
      <c r="BZ121" s="15">
        <v>0.0</v>
      </c>
      <c r="CA121" s="15">
        <v>50.0</v>
      </c>
      <c r="CB121" s="15" t="s">
        <v>469</v>
      </c>
      <c r="CC121" s="108"/>
      <c r="CD121" s="15">
        <v>0.0</v>
      </c>
      <c r="CE121" s="15">
        <v>0.0</v>
      </c>
      <c r="CF121" s="15">
        <v>0.0</v>
      </c>
      <c r="CG121" s="15">
        <v>50.0</v>
      </c>
      <c r="CH121" s="15" t="s">
        <v>469</v>
      </c>
      <c r="CI121" s="108"/>
      <c r="CO121" s="108"/>
      <c r="CU121" s="108"/>
      <c r="DA121" s="108"/>
      <c r="DG121" s="108"/>
      <c r="DM121" s="108"/>
      <c r="DS121" s="108"/>
      <c r="DT121" s="108"/>
      <c r="DU121" s="108"/>
      <c r="DW121" s="109"/>
      <c r="DX121" s="110">
        <f t="shared" si="13"/>
        <v>0</v>
      </c>
      <c r="DY121" s="111">
        <f t="shared" ref="DY121:DZ121" si="301">sum(BS121,BY121,CE121,CK121,CQ121,CW121,DC121,DI121,DO121)</f>
        <v>3</v>
      </c>
      <c r="DZ121" s="111">
        <f t="shared" si="301"/>
        <v>0</v>
      </c>
      <c r="EA121" s="110">
        <f t="shared" si="15"/>
        <v>50</v>
      </c>
      <c r="EB121" s="99" t="str">
        <f t="shared" si="16"/>
        <v>35 - 54</v>
      </c>
      <c r="EC121" s="112"/>
      <c r="ED121" s="113">
        <f t="shared" si="17"/>
        <v>4.6</v>
      </c>
      <c r="EE121" s="114" t="str">
        <f>IF(V121 &lt;&gt; "", 1+((V121-MIN(discount_rates))*(4)/(MAX(discount_rates) - MIN(discount_rates))), "")</f>
        <v/>
      </c>
      <c r="EF121" s="114" t="str">
        <f>IF(Q121="Debt", (1+((S121-MIN(interest_rates))*(4)/(MAX(interest_rates) - MIN(interest_rates)))), "")</f>
        <v/>
      </c>
      <c r="EG121" s="114" t="str">
        <f>IF(OR(Q121="Revenue Share", Q121="Profit Share"), (1+((R121-MIN(return_mutiples))*(4)/(MAX(return_mutiples) - MIN(return_mutiples)))), "")</f>
        <v/>
      </c>
      <c r="EH121" s="115">
        <f t="shared" si="18"/>
        <v>4.6</v>
      </c>
      <c r="EI121" s="116" t="str">
        <f t="shared" si="19"/>
        <v>Equity - Common</v>
      </c>
      <c r="EJ121" s="117">
        <f t="shared" si="20"/>
        <v>0.3287671233</v>
      </c>
      <c r="EK121" s="116" t="str">
        <f t="shared" si="21"/>
        <v>Early</v>
      </c>
      <c r="EL121" s="112"/>
      <c r="EM121" s="118">
        <f t="shared" si="22"/>
        <v>2.7</v>
      </c>
      <c r="EN121" s="118">
        <f t="shared" si="23"/>
        <v>1.7</v>
      </c>
      <c r="EO121" s="119">
        <f t="shared" si="24"/>
        <v>4.4</v>
      </c>
      <c r="EP121" s="115">
        <f>1+((EO121-MIN(market_ratings_sums))*(4)/(MAX(market_ratings_sums) - MIN(market_ratings_sums)))</f>
        <v>2.192982456</v>
      </c>
      <c r="EQ121" s="116" t="str">
        <f t="shared" si="25"/>
        <v>No</v>
      </c>
      <c r="ER121" s="112"/>
      <c r="ES121" s="123">
        <f>1+((DX121-MIN(industry_experiences))*(4)/(MAX(industry_experiences) - MIN(industry_experiences)))</f>
        <v>1</v>
      </c>
      <c r="ET121" s="123">
        <f>1+((DY121-MIN(previous_startups))*(4)/(MAX(previous_startups) - MIN(previous_startups)))</f>
        <v>2.333333333</v>
      </c>
      <c r="EU121" s="123">
        <f>1+((DZ121-MIN(exits))*(4)/(MAX(exits) - MIN(exits)))</f>
        <v>1</v>
      </c>
      <c r="EV121" s="119">
        <f t="shared" si="26"/>
        <v>4.333333333</v>
      </c>
      <c r="EW121" s="124">
        <f>1+((EV121-MIN(team_ratings_sums))*(4)/(MAX(team_ratings_sums) - MIN(team_ratings_sums)))</f>
        <v>1.730434783</v>
      </c>
      <c r="EX121" s="116" t="str">
        <f t="shared" si="27"/>
        <v>35 - 54</v>
      </c>
      <c r="EY121" s="125">
        <f t="shared" si="28"/>
        <v>0.6849315068</v>
      </c>
      <c r="EZ121" s="116">
        <f t="shared" si="29"/>
        <v>3</v>
      </c>
      <c r="FA121" s="125">
        <f t="shared" si="30"/>
        <v>0.05479452055</v>
      </c>
      <c r="FB121" s="116">
        <f t="shared" si="31"/>
        <v>2</v>
      </c>
      <c r="FC121" s="125">
        <f t="shared" si="32"/>
        <v>0.1369863014</v>
      </c>
      <c r="FD121" s="116" t="str">
        <f t="shared" si="33"/>
        <v>No</v>
      </c>
      <c r="FE121" s="125">
        <f t="shared" si="34"/>
        <v>0.7534246575</v>
      </c>
      <c r="FF121" s="116" t="str">
        <f t="shared" ref="FF121:FH121" si="302">BJ121</f>
        <v>No</v>
      </c>
      <c r="FG121" s="116" t="str">
        <f t="shared" si="302"/>
        <v>No</v>
      </c>
      <c r="FH121" s="116" t="str">
        <f t="shared" si="302"/>
        <v>No</v>
      </c>
      <c r="FI121" s="112"/>
      <c r="FJ121" s="116" t="str">
        <f t="shared" si="36"/>
        <v>Recurring</v>
      </c>
      <c r="FK121" s="125">
        <f t="shared" si="37"/>
        <v>0.397260274</v>
      </c>
      <c r="FL121" s="116" t="str">
        <f t="shared" si="38"/>
        <v>B2C</v>
      </c>
      <c r="FM121" s="125">
        <f t="shared" si="39"/>
        <v>0.397260274</v>
      </c>
      <c r="FN121" s="116" t="str">
        <f t="shared" si="40"/>
        <v>Low</v>
      </c>
      <c r="FO121" s="125">
        <f t="shared" si="41"/>
        <v>0.4383561644</v>
      </c>
      <c r="FP121" s="116" t="str">
        <f t="shared" si="42"/>
        <v>Low</v>
      </c>
      <c r="FQ121" s="125">
        <f t="shared" si="43"/>
        <v>0.3561643836</v>
      </c>
      <c r="FR121" s="112"/>
      <c r="FS121" s="123">
        <f t="shared" si="44"/>
        <v>5</v>
      </c>
      <c r="FT121" s="123">
        <f t="shared" si="45"/>
        <v>1</v>
      </c>
      <c r="FU121" s="123">
        <f t="shared" si="46"/>
        <v>1</v>
      </c>
      <c r="FV121" s="123">
        <f t="shared" si="47"/>
        <v>5</v>
      </c>
      <c r="FW121" s="119">
        <f t="shared" si="48"/>
        <v>12</v>
      </c>
      <c r="FX121" s="115">
        <f>1+((FW121-MIN(performance_ratings_sums))*(4)/(MAX(performance_ratings_sums) - MIN(performance_ratings_sums)))</f>
        <v>2.981308411</v>
      </c>
      <c r="FY121" s="116" t="str">
        <f t="shared" si="49"/>
        <v>Pre-Profit</v>
      </c>
      <c r="FZ121" s="126">
        <f t="shared" si="50"/>
        <v>0.4931506849</v>
      </c>
      <c r="GA121" s="112"/>
      <c r="GB121" s="127">
        <f t="shared" si="51"/>
        <v>3</v>
      </c>
      <c r="GC121" s="116" t="str">
        <f t="shared" si="52"/>
        <v>No</v>
      </c>
      <c r="GD121" s="126">
        <f t="shared" si="53"/>
        <v>0.7671232877</v>
      </c>
      <c r="GE121" s="126" t="str">
        <f t="shared" si="54"/>
        <v>Low</v>
      </c>
      <c r="GF121" s="126">
        <f t="shared" si="55"/>
        <v>0.5479452055</v>
      </c>
      <c r="GG121" s="126" t="str">
        <f t="shared" si="56"/>
        <v>High</v>
      </c>
      <c r="GH121" s="126">
        <f t="shared" si="57"/>
        <v>0.8082191781</v>
      </c>
      <c r="GI121" s="112"/>
      <c r="GJ121" s="116"/>
      <c r="GK121" s="119">
        <f t="shared" si="58"/>
        <v>14.50472565</v>
      </c>
      <c r="GL121" s="128">
        <f>1+((GK121-MIN(ratings_sums))*(4)/(MAX(ratings_sums) - MIN(ratings_sums)))</f>
        <v>3.243225747</v>
      </c>
    </row>
    <row r="122" ht="15.75" customHeight="1">
      <c r="A122" s="161" t="s">
        <v>681</v>
      </c>
      <c r="B122" s="15">
        <v>1554477.0</v>
      </c>
      <c r="C122" s="162" t="s">
        <v>1062</v>
      </c>
      <c r="D122" s="163">
        <v>43875.50763888889</v>
      </c>
      <c r="E122" s="15" t="s">
        <v>369</v>
      </c>
      <c r="F122" s="164" t="s">
        <v>1063</v>
      </c>
      <c r="G122" s="164" t="s">
        <v>1064</v>
      </c>
      <c r="H122" s="173">
        <v>43873.0</v>
      </c>
      <c r="I122" s="162" t="s">
        <v>1065</v>
      </c>
      <c r="J122" s="162" t="s">
        <v>1062</v>
      </c>
      <c r="K122" s="15" t="s">
        <v>436</v>
      </c>
      <c r="L122" s="15" t="s">
        <v>390</v>
      </c>
      <c r="M122" s="15" t="s">
        <v>31</v>
      </c>
      <c r="N122" s="15" t="s">
        <v>82</v>
      </c>
      <c r="O122" s="15" t="s">
        <v>35</v>
      </c>
      <c r="Q122" s="15" t="s">
        <v>195</v>
      </c>
      <c r="R122" s="166"/>
      <c r="S122" s="120"/>
      <c r="T122" s="69"/>
      <c r="U122" s="69">
        <v>7500000.0</v>
      </c>
      <c r="V122" s="132">
        <v>0.1</v>
      </c>
      <c r="W122" s="96">
        <f t="shared" si="125"/>
        <v>6750000</v>
      </c>
      <c r="X122" s="98">
        <f t="shared" si="126"/>
        <v>6750000</v>
      </c>
      <c r="Y122" s="99" t="str">
        <f t="shared" si="127"/>
        <v>$6M - $8M</v>
      </c>
      <c r="Z122" s="15" t="s">
        <v>86</v>
      </c>
      <c r="AA122" s="15" t="s">
        <v>87</v>
      </c>
      <c r="AB122" s="15" t="s">
        <v>38</v>
      </c>
      <c r="AC122" s="15" t="s">
        <v>469</v>
      </c>
      <c r="AD122" s="15" t="s">
        <v>89</v>
      </c>
      <c r="AE122" s="15" t="s">
        <v>39</v>
      </c>
      <c r="AF122" s="15" t="s">
        <v>469</v>
      </c>
      <c r="AG122" s="69">
        <v>7.0E10</v>
      </c>
      <c r="AH122" s="97" t="str">
        <f t="shared" si="128"/>
        <v>$50B-$100B</v>
      </c>
      <c r="AI122" s="69">
        <v>1.5E10</v>
      </c>
      <c r="AJ122" s="97" t="str">
        <f t="shared" si="129"/>
        <v>$10B-$25B</v>
      </c>
      <c r="AK122" s="167">
        <v>0.04</v>
      </c>
      <c r="AL122" s="88" t="str">
        <f t="shared" si="130"/>
        <v>0%-10%</v>
      </c>
      <c r="AM122" s="15">
        <v>20.0</v>
      </c>
      <c r="AN122" s="15" t="s">
        <v>89</v>
      </c>
      <c r="AO122" s="15" t="s">
        <v>89</v>
      </c>
      <c r="AP122" s="15" t="s">
        <v>40</v>
      </c>
      <c r="AQ122" s="168" t="s">
        <v>39</v>
      </c>
      <c r="AR122" s="168" t="s">
        <v>39</v>
      </c>
      <c r="AS122" s="15" t="s">
        <v>469</v>
      </c>
      <c r="AT122" s="15" t="s">
        <v>469</v>
      </c>
      <c r="AU122" s="15" t="s">
        <v>493</v>
      </c>
      <c r="AV122" s="15" t="s">
        <v>493</v>
      </c>
      <c r="AW122" s="69">
        <v>2667891.0</v>
      </c>
      <c r="AX122" s="96" t="str">
        <f t="shared" si="131"/>
        <v>$2M - $3M</v>
      </c>
      <c r="AY122" s="69">
        <v>86749.0</v>
      </c>
      <c r="AZ122" s="69">
        <v>3200000.0</v>
      </c>
      <c r="BA122" s="103" t="str">
        <f t="shared" si="132"/>
        <v>$3M - $4M</v>
      </c>
      <c r="BB122" s="103">
        <f t="shared" si="133"/>
        <v>0.0271090625</v>
      </c>
      <c r="BC122" s="103" t="str">
        <f t="shared" si="134"/>
        <v>&lt; 10%</v>
      </c>
      <c r="BD122" s="15" t="s">
        <v>107</v>
      </c>
      <c r="BF122" s="15" t="s">
        <v>493</v>
      </c>
      <c r="BG122" s="15">
        <v>1.0</v>
      </c>
      <c r="BH122" s="15">
        <v>2.0</v>
      </c>
      <c r="BI122" s="15" t="s">
        <v>469</v>
      </c>
      <c r="BJ122" s="15" t="s">
        <v>469</v>
      </c>
      <c r="BK122" s="15" t="s">
        <v>493</v>
      </c>
      <c r="BL122" s="15" t="s">
        <v>493</v>
      </c>
      <c r="BM122" s="15">
        <v>3.0</v>
      </c>
      <c r="BN122" s="15">
        <v>10.0</v>
      </c>
      <c r="BO122" s="15">
        <v>0.0</v>
      </c>
      <c r="BP122" s="15">
        <v>0.0</v>
      </c>
      <c r="BQ122" s="108"/>
      <c r="BR122" s="15">
        <v>10.0</v>
      </c>
      <c r="BS122" s="15">
        <v>0.0</v>
      </c>
      <c r="BT122" s="15">
        <v>0.0</v>
      </c>
      <c r="BU122" s="15">
        <v>40.0</v>
      </c>
      <c r="BV122" s="15" t="s">
        <v>469</v>
      </c>
      <c r="BW122" s="108"/>
      <c r="BX122" s="15">
        <v>10.0</v>
      </c>
      <c r="BY122" s="15">
        <v>0.0</v>
      </c>
      <c r="BZ122" s="15">
        <v>0.0</v>
      </c>
      <c r="CA122" s="15">
        <v>44.0</v>
      </c>
      <c r="CB122" s="15" t="s">
        <v>493</v>
      </c>
      <c r="CC122" s="108"/>
      <c r="CD122" s="15">
        <v>10.0</v>
      </c>
      <c r="CE122" s="15">
        <v>3.0</v>
      </c>
      <c r="CF122" s="15">
        <v>0.0</v>
      </c>
      <c r="CG122" s="15">
        <v>40.0</v>
      </c>
      <c r="CH122" s="15" t="s">
        <v>469</v>
      </c>
      <c r="CI122" s="108"/>
      <c r="CO122" s="108"/>
      <c r="CU122" s="108"/>
      <c r="DA122" s="108"/>
      <c r="DG122" s="108"/>
      <c r="DM122" s="108"/>
      <c r="DS122" s="108"/>
      <c r="DT122" s="108"/>
      <c r="DU122" s="108"/>
      <c r="DW122" s="109"/>
      <c r="DX122" s="110">
        <f t="shared" si="13"/>
        <v>10</v>
      </c>
      <c r="DY122" s="111">
        <f t="shared" ref="DY122:DZ122" si="303">sum(BS122,BY122,CE122,CK122,CQ122,CW122,DC122,DI122,DO122)</f>
        <v>3</v>
      </c>
      <c r="DZ122" s="111">
        <f t="shared" si="303"/>
        <v>0</v>
      </c>
      <c r="EA122" s="110">
        <f t="shared" si="15"/>
        <v>41.33333333</v>
      </c>
      <c r="EB122" s="99" t="str">
        <f t="shared" si="16"/>
        <v>35 - 54</v>
      </c>
      <c r="EC122" s="112"/>
      <c r="ED122" s="113">
        <f t="shared" si="17"/>
        <v>4.2</v>
      </c>
      <c r="EE122" s="114">
        <f>IF(V122 &lt;&gt; "", 1+((V122-MIN(discount_rates))*(4)/(MAX(discount_rates) - MIN(discount_rates))), "")</f>
        <v>2.052631579</v>
      </c>
      <c r="EF122" s="114" t="str">
        <f>IF(Q122="Debt", (1+((S122-MIN(interest_rates))*(4)/(MAX(interest_rates) - MIN(interest_rates)))), "")</f>
        <v/>
      </c>
      <c r="EG122" s="114" t="str">
        <f>IF(OR(Q122="Revenue Share", Q122="Profit Share"), (1+((R122-MIN(return_mutiples))*(4)/(MAX(return_mutiples) - MIN(return_mutiples)))), "")</f>
        <v/>
      </c>
      <c r="EH122" s="115">
        <f t="shared" si="18"/>
        <v>4.2</v>
      </c>
      <c r="EI122" s="116" t="str">
        <f t="shared" si="19"/>
        <v>SAFE</v>
      </c>
      <c r="EJ122" s="117">
        <f t="shared" si="20"/>
        <v>0.3561643836</v>
      </c>
      <c r="EK122" s="116" t="str">
        <f t="shared" si="21"/>
        <v>Early</v>
      </c>
      <c r="EL122" s="112"/>
      <c r="EM122" s="118">
        <f t="shared" si="22"/>
        <v>3.3</v>
      </c>
      <c r="EN122" s="118">
        <f t="shared" si="23"/>
        <v>1.7</v>
      </c>
      <c r="EO122" s="119">
        <f t="shared" si="24"/>
        <v>5</v>
      </c>
      <c r="EP122" s="115">
        <f>1+((EO122-MIN(market_ratings_sums))*(4)/(MAX(market_ratings_sums) - MIN(market_ratings_sums)))</f>
        <v>2.614035088</v>
      </c>
      <c r="EQ122" s="116" t="str">
        <f t="shared" si="25"/>
        <v>No</v>
      </c>
      <c r="ER122" s="112"/>
      <c r="ES122" s="123">
        <f>1+((DX122-MIN(industry_experiences))*(4)/(MAX(industry_experiences) - MIN(industry_experiences)))</f>
        <v>1.952380952</v>
      </c>
      <c r="ET122" s="123">
        <f>1+((DY122-MIN(previous_startups))*(4)/(MAX(previous_startups) - MIN(previous_startups)))</f>
        <v>2.333333333</v>
      </c>
      <c r="EU122" s="123">
        <f>1+((DZ122-MIN(exits))*(4)/(MAX(exits) - MIN(exits)))</f>
        <v>1</v>
      </c>
      <c r="EV122" s="119">
        <f t="shared" si="26"/>
        <v>5.285714286</v>
      </c>
      <c r="EW122" s="124">
        <f>1+((EV122-MIN(team_ratings_sums))*(4)/(MAX(team_ratings_sums) - MIN(team_ratings_sums)))</f>
        <v>2.252173913</v>
      </c>
      <c r="EX122" s="116" t="str">
        <f t="shared" si="27"/>
        <v>35 - 54</v>
      </c>
      <c r="EY122" s="125">
        <f t="shared" si="28"/>
        <v>0.6849315068</v>
      </c>
      <c r="EZ122" s="116">
        <f t="shared" si="29"/>
        <v>2</v>
      </c>
      <c r="FA122" s="125">
        <f t="shared" si="30"/>
        <v>0.4520547945</v>
      </c>
      <c r="FB122" s="116">
        <f t="shared" si="31"/>
        <v>10</v>
      </c>
      <c r="FC122" s="125">
        <f t="shared" si="32"/>
        <v>0.02739726027</v>
      </c>
      <c r="FD122" s="116" t="str">
        <f t="shared" si="33"/>
        <v>No</v>
      </c>
      <c r="FE122" s="125">
        <f t="shared" si="34"/>
        <v>0.7534246575</v>
      </c>
      <c r="FF122" s="116" t="str">
        <f t="shared" ref="FF122:FH122" si="304">BJ122</f>
        <v>No</v>
      </c>
      <c r="FG122" s="116" t="str">
        <f t="shared" si="304"/>
        <v>Yes</v>
      </c>
      <c r="FH122" s="116" t="str">
        <f t="shared" si="304"/>
        <v>Yes</v>
      </c>
      <c r="FI122" s="112"/>
      <c r="FJ122" s="116" t="str">
        <f t="shared" si="36"/>
        <v>Recurring</v>
      </c>
      <c r="FK122" s="125">
        <f t="shared" si="37"/>
        <v>0.397260274</v>
      </c>
      <c r="FL122" s="116" t="str">
        <f t="shared" si="38"/>
        <v>B2C</v>
      </c>
      <c r="FM122" s="125">
        <f t="shared" si="39"/>
        <v>0.397260274</v>
      </c>
      <c r="FN122" s="116" t="str">
        <f t="shared" si="40"/>
        <v>Low</v>
      </c>
      <c r="FO122" s="125">
        <f t="shared" si="41"/>
        <v>0.4383561644</v>
      </c>
      <c r="FP122" s="116" t="str">
        <f t="shared" si="42"/>
        <v>High</v>
      </c>
      <c r="FQ122" s="125">
        <f t="shared" si="43"/>
        <v>0.6438356164</v>
      </c>
      <c r="FR122" s="112"/>
      <c r="FS122" s="123">
        <f t="shared" si="44"/>
        <v>5</v>
      </c>
      <c r="FT122" s="123">
        <f t="shared" si="45"/>
        <v>3.7</v>
      </c>
      <c r="FU122" s="123">
        <f t="shared" si="46"/>
        <v>5</v>
      </c>
      <c r="FV122" s="123">
        <f t="shared" si="47"/>
        <v>1.9</v>
      </c>
      <c r="FW122" s="119">
        <f t="shared" si="48"/>
        <v>15.6</v>
      </c>
      <c r="FX122" s="115">
        <f>1+((FW122-MIN(performance_ratings_sums))*(4)/(MAX(performance_ratings_sums) - MIN(performance_ratings_sums)))</f>
        <v>4.327102804</v>
      </c>
      <c r="FY122" s="116" t="str">
        <f t="shared" si="49"/>
        <v>Pre-Profit</v>
      </c>
      <c r="FZ122" s="126">
        <f t="shared" si="50"/>
        <v>0.4931506849</v>
      </c>
      <c r="GA122" s="112"/>
      <c r="GB122" s="127">
        <f t="shared" si="51"/>
        <v>1</v>
      </c>
      <c r="GC122" s="116" t="str">
        <f t="shared" si="52"/>
        <v>No</v>
      </c>
      <c r="GD122" s="126">
        <f t="shared" si="53"/>
        <v>0.7671232877</v>
      </c>
      <c r="GE122" s="126" t="str">
        <f t="shared" si="54"/>
        <v>High</v>
      </c>
      <c r="GF122" s="126">
        <f t="shared" si="55"/>
        <v>0.4520547945</v>
      </c>
      <c r="GG122" s="126" t="str">
        <f t="shared" si="56"/>
        <v>High</v>
      </c>
      <c r="GH122" s="126">
        <f t="shared" si="57"/>
        <v>0.8082191781</v>
      </c>
      <c r="GI122" s="112"/>
      <c r="GJ122" s="116"/>
      <c r="GK122" s="119">
        <f t="shared" si="58"/>
        <v>14.3933118</v>
      </c>
      <c r="GL122" s="128">
        <f>1+((GK122-MIN(ratings_sums))*(4)/(MAX(ratings_sums) - MIN(ratings_sums)))</f>
        <v>3.209039526</v>
      </c>
    </row>
    <row r="123" ht="15.75" customHeight="1">
      <c r="A123" s="161" t="s">
        <v>681</v>
      </c>
      <c r="B123" s="15">
        <v>1677789.0</v>
      </c>
      <c r="C123" s="162" t="s">
        <v>1066</v>
      </c>
      <c r="D123" s="163">
        <v>43875.51180555556</v>
      </c>
      <c r="E123" s="15" t="s">
        <v>381</v>
      </c>
      <c r="F123" s="164" t="s">
        <v>1067</v>
      </c>
      <c r="G123" s="164" t="s">
        <v>1068</v>
      </c>
      <c r="H123" s="173">
        <v>43879.0</v>
      </c>
      <c r="I123" s="162" t="s">
        <v>1069</v>
      </c>
      <c r="J123" s="162" t="s">
        <v>1070</v>
      </c>
      <c r="K123" s="15" t="s">
        <v>448</v>
      </c>
      <c r="L123" s="15" t="s">
        <v>390</v>
      </c>
      <c r="M123" s="15" t="s">
        <v>31</v>
      </c>
      <c r="N123" s="15" t="s">
        <v>82</v>
      </c>
      <c r="O123" s="15" t="s">
        <v>35</v>
      </c>
      <c r="Q123" s="15" t="s">
        <v>121</v>
      </c>
      <c r="R123" s="166"/>
      <c r="S123" s="120"/>
      <c r="T123" s="69">
        <v>5400000.0</v>
      </c>
      <c r="U123" s="69"/>
      <c r="V123" s="185"/>
      <c r="W123" s="96" t="str">
        <f t="shared" si="125"/>
        <v/>
      </c>
      <c r="X123" s="98">
        <f t="shared" si="126"/>
        <v>5400000</v>
      </c>
      <c r="Y123" s="99" t="str">
        <f t="shared" si="127"/>
        <v>$4M - $6M</v>
      </c>
      <c r="Z123" s="15" t="s">
        <v>36</v>
      </c>
      <c r="AA123" s="15" t="s">
        <v>123</v>
      </c>
      <c r="AB123" s="15" t="s">
        <v>38</v>
      </c>
      <c r="AC123" s="15" t="s">
        <v>469</v>
      </c>
      <c r="AD123" s="15" t="s">
        <v>89</v>
      </c>
      <c r="AE123" s="15" t="s">
        <v>89</v>
      </c>
      <c r="AF123" s="15" t="s">
        <v>469</v>
      </c>
      <c r="AG123" s="69">
        <v>2.08E11</v>
      </c>
      <c r="AH123" s="97" t="str">
        <f t="shared" si="128"/>
        <v>$100B-$250B</v>
      </c>
      <c r="AI123" s="69">
        <v>5000000.0</v>
      </c>
      <c r="AJ123" s="97" t="str">
        <f t="shared" si="129"/>
        <v>&lt; $25M</v>
      </c>
      <c r="AK123" s="167">
        <v>0.08</v>
      </c>
      <c r="AL123" s="88" t="str">
        <f t="shared" si="130"/>
        <v>0%-10%</v>
      </c>
      <c r="AM123" s="15">
        <v>50.0</v>
      </c>
      <c r="AN123" s="15" t="s">
        <v>89</v>
      </c>
      <c r="AO123" s="15" t="s">
        <v>89</v>
      </c>
      <c r="AP123" s="15" t="s">
        <v>40</v>
      </c>
      <c r="AQ123" s="168" t="s">
        <v>89</v>
      </c>
      <c r="AR123" s="168" t="s">
        <v>39</v>
      </c>
      <c r="AS123" s="15" t="s">
        <v>469</v>
      </c>
      <c r="AT123" s="15" t="s">
        <v>469</v>
      </c>
      <c r="AU123" s="15" t="s">
        <v>493</v>
      </c>
      <c r="AV123" s="15" t="s">
        <v>493</v>
      </c>
      <c r="AW123" s="69">
        <v>6211.0</v>
      </c>
      <c r="AX123" s="96" t="str">
        <f t="shared" si="131"/>
        <v>&lt; $10K</v>
      </c>
      <c r="AY123" s="69">
        <v>21223.0</v>
      </c>
      <c r="AZ123" s="69">
        <v>0.0</v>
      </c>
      <c r="BA123" s="103" t="str">
        <f t="shared" si="132"/>
        <v>&lt; $10K</v>
      </c>
      <c r="BB123" s="103">
        <f t="shared" si="133"/>
        <v>1</v>
      </c>
      <c r="BC123" s="103" t="str">
        <f t="shared" si="134"/>
        <v>90% - 100%</v>
      </c>
      <c r="BD123" s="15" t="s">
        <v>107</v>
      </c>
      <c r="BF123" s="15" t="s">
        <v>493</v>
      </c>
      <c r="BG123" s="15">
        <v>0.0</v>
      </c>
      <c r="BH123" s="15">
        <v>1.0</v>
      </c>
      <c r="BI123" s="15" t="s">
        <v>469</v>
      </c>
      <c r="BJ123" s="15" t="s">
        <v>493</v>
      </c>
      <c r="BK123" s="15" t="s">
        <v>469</v>
      </c>
      <c r="BL123" s="15" t="s">
        <v>469</v>
      </c>
      <c r="BM123" s="15">
        <v>1.0</v>
      </c>
      <c r="BN123" s="15">
        <v>1.0</v>
      </c>
      <c r="BO123" s="15">
        <v>0.0</v>
      </c>
      <c r="BP123" s="15">
        <v>0.0</v>
      </c>
      <c r="BQ123" s="108"/>
      <c r="BR123" s="15">
        <v>5.0</v>
      </c>
      <c r="BS123" s="15">
        <v>0.0</v>
      </c>
      <c r="BT123" s="15">
        <v>0.0</v>
      </c>
      <c r="BU123" s="15">
        <v>60.0</v>
      </c>
      <c r="BV123" s="15" t="s">
        <v>469</v>
      </c>
      <c r="BW123" s="108"/>
      <c r="CC123" s="108"/>
      <c r="CI123" s="108"/>
      <c r="CO123" s="108"/>
      <c r="CU123" s="108"/>
      <c r="DA123" s="108"/>
      <c r="DG123" s="108"/>
      <c r="DM123" s="108"/>
      <c r="DS123" s="108"/>
      <c r="DT123" s="108"/>
      <c r="DU123" s="108"/>
      <c r="DW123" s="109"/>
      <c r="DX123" s="110">
        <f t="shared" si="13"/>
        <v>5</v>
      </c>
      <c r="DY123" s="111">
        <f t="shared" ref="DY123:DZ123" si="305">sum(BS123,BY123,CE123,CK123,CQ123,CW123,DC123,DI123,DO123)</f>
        <v>0</v>
      </c>
      <c r="DZ123" s="111">
        <f t="shared" si="305"/>
        <v>0</v>
      </c>
      <c r="EA123" s="110">
        <f t="shared" si="15"/>
        <v>60</v>
      </c>
      <c r="EB123" s="99" t="str">
        <f t="shared" si="16"/>
        <v>55+</v>
      </c>
      <c r="EC123" s="112"/>
      <c r="ED123" s="113">
        <f t="shared" si="17"/>
        <v>4.4</v>
      </c>
      <c r="EE123" s="114" t="str">
        <f>IF(V123 &lt;&gt; "", 1+((V123-MIN(discount_rates))*(4)/(MAX(discount_rates) - MIN(discount_rates))), "")</f>
        <v/>
      </c>
      <c r="EF123" s="114" t="str">
        <f>IF(Q123="Debt", (1+((S123-MIN(interest_rates))*(4)/(MAX(interest_rates) - MIN(interest_rates)))), "")</f>
        <v/>
      </c>
      <c r="EG123" s="114" t="str">
        <f>IF(OR(Q123="Revenue Share", Q123="Profit Share"), (1+((R123-MIN(return_mutiples))*(4)/(MAX(return_mutiples) - MIN(return_mutiples)))), "")</f>
        <v/>
      </c>
      <c r="EH123" s="115">
        <f t="shared" si="18"/>
        <v>4.4</v>
      </c>
      <c r="EI123" s="116" t="str">
        <f t="shared" si="19"/>
        <v>Equity - Common</v>
      </c>
      <c r="EJ123" s="117">
        <f t="shared" si="20"/>
        <v>0.3287671233</v>
      </c>
      <c r="EK123" s="116" t="str">
        <f t="shared" si="21"/>
        <v>Early</v>
      </c>
      <c r="EL123" s="112"/>
      <c r="EM123" s="118">
        <f t="shared" si="22"/>
        <v>1</v>
      </c>
      <c r="EN123" s="118">
        <f t="shared" si="23"/>
        <v>1.7</v>
      </c>
      <c r="EO123" s="119">
        <f t="shared" si="24"/>
        <v>2.7</v>
      </c>
      <c r="EP123" s="115">
        <f>1+((EO123-MIN(market_ratings_sums))*(4)/(MAX(market_ratings_sums) - MIN(market_ratings_sums)))</f>
        <v>1</v>
      </c>
      <c r="EQ123" s="116" t="str">
        <f t="shared" si="25"/>
        <v>No</v>
      </c>
      <c r="ER123" s="112"/>
      <c r="ES123" s="123">
        <f>1+((DX123-MIN(industry_experiences))*(4)/(MAX(industry_experiences) - MIN(industry_experiences)))</f>
        <v>1.476190476</v>
      </c>
      <c r="ET123" s="123">
        <f>1+((DY123-MIN(previous_startups))*(4)/(MAX(previous_startups) - MIN(previous_startups)))</f>
        <v>1</v>
      </c>
      <c r="EU123" s="123">
        <f>1+((DZ123-MIN(exits))*(4)/(MAX(exits) - MIN(exits)))</f>
        <v>1</v>
      </c>
      <c r="EV123" s="119">
        <f t="shared" si="26"/>
        <v>3.476190476</v>
      </c>
      <c r="EW123" s="124">
        <f>1+((EV123-MIN(team_ratings_sums))*(4)/(MAX(team_ratings_sums) - MIN(team_ratings_sums)))</f>
        <v>1.260869565</v>
      </c>
      <c r="EX123" s="116" t="str">
        <f t="shared" si="27"/>
        <v>55+</v>
      </c>
      <c r="EY123" s="125">
        <f t="shared" si="28"/>
        <v>0.1095890411</v>
      </c>
      <c r="EZ123" s="116">
        <f t="shared" si="29"/>
        <v>1</v>
      </c>
      <c r="FA123" s="125">
        <f t="shared" si="30"/>
        <v>0.4383561644</v>
      </c>
      <c r="FB123" s="116">
        <f t="shared" si="31"/>
        <v>1</v>
      </c>
      <c r="FC123" s="125">
        <f t="shared" si="32"/>
        <v>0.08219178082</v>
      </c>
      <c r="FD123" s="116" t="str">
        <f t="shared" si="33"/>
        <v>No</v>
      </c>
      <c r="FE123" s="125">
        <f t="shared" si="34"/>
        <v>0.7534246575</v>
      </c>
      <c r="FF123" s="116" t="str">
        <f t="shared" ref="FF123:FH123" si="306">BJ123</f>
        <v>Yes</v>
      </c>
      <c r="FG123" s="116" t="str">
        <f t="shared" si="306"/>
        <v>No</v>
      </c>
      <c r="FH123" s="116" t="str">
        <f t="shared" si="306"/>
        <v>No</v>
      </c>
      <c r="FI123" s="112"/>
      <c r="FJ123" s="116" t="str">
        <f t="shared" si="36"/>
        <v>Transactional</v>
      </c>
      <c r="FK123" s="125">
        <f t="shared" si="37"/>
        <v>0.602739726</v>
      </c>
      <c r="FL123" s="116" t="str">
        <f t="shared" si="38"/>
        <v>B2B/B2C</v>
      </c>
      <c r="FM123" s="125">
        <f t="shared" si="39"/>
        <v>0.3287671233</v>
      </c>
      <c r="FN123" s="116" t="str">
        <f t="shared" si="40"/>
        <v>Low</v>
      </c>
      <c r="FO123" s="125">
        <f t="shared" si="41"/>
        <v>0.4383561644</v>
      </c>
      <c r="FP123" s="116" t="str">
        <f t="shared" si="42"/>
        <v>Low</v>
      </c>
      <c r="FQ123" s="125">
        <f t="shared" si="43"/>
        <v>0.3561643836</v>
      </c>
      <c r="FR123" s="112"/>
      <c r="FS123" s="123">
        <f t="shared" si="44"/>
        <v>5</v>
      </c>
      <c r="FT123" s="123">
        <f t="shared" si="45"/>
        <v>1</v>
      </c>
      <c r="FU123" s="123">
        <f t="shared" si="46"/>
        <v>1</v>
      </c>
      <c r="FV123" s="123">
        <f t="shared" si="47"/>
        <v>5</v>
      </c>
      <c r="FW123" s="119">
        <f t="shared" si="48"/>
        <v>12</v>
      </c>
      <c r="FX123" s="115">
        <f>1+((FW123-MIN(performance_ratings_sums))*(4)/(MAX(performance_ratings_sums) - MIN(performance_ratings_sums)))</f>
        <v>2.981308411</v>
      </c>
      <c r="FY123" s="116" t="str">
        <f t="shared" si="49"/>
        <v>Pre-Profit</v>
      </c>
      <c r="FZ123" s="126">
        <f t="shared" si="50"/>
        <v>0.4931506849</v>
      </c>
      <c r="GA123" s="112"/>
      <c r="GB123" s="127">
        <f t="shared" si="51"/>
        <v>1</v>
      </c>
      <c r="GC123" s="116" t="str">
        <f t="shared" si="52"/>
        <v>No</v>
      </c>
      <c r="GD123" s="126">
        <f t="shared" si="53"/>
        <v>0.7671232877</v>
      </c>
      <c r="GE123" s="126" t="str">
        <f t="shared" si="54"/>
        <v>Low</v>
      </c>
      <c r="GF123" s="126">
        <f t="shared" si="55"/>
        <v>0.5479452055</v>
      </c>
      <c r="GG123" s="126" t="str">
        <f t="shared" si="56"/>
        <v>High</v>
      </c>
      <c r="GH123" s="126">
        <f t="shared" si="57"/>
        <v>0.8082191781</v>
      </c>
      <c r="GI123" s="112"/>
      <c r="GJ123" s="116"/>
      <c r="GK123" s="119">
        <f t="shared" si="58"/>
        <v>10.64217798</v>
      </c>
      <c r="GL123" s="128">
        <f>1+((GK123-MIN(ratings_sums))*(4)/(MAX(ratings_sums) - MIN(ratings_sums)))</f>
        <v>2.058041745</v>
      </c>
    </row>
    <row r="124" ht="15.75" customHeight="1">
      <c r="A124" s="161" t="s">
        <v>681</v>
      </c>
      <c r="B124" s="15">
        <v>1788193.0</v>
      </c>
      <c r="C124" s="162" t="s">
        <v>1071</v>
      </c>
      <c r="D124" s="163">
        <v>43875.51597222222</v>
      </c>
      <c r="E124" s="15" t="s">
        <v>392</v>
      </c>
      <c r="F124" s="164" t="s">
        <v>1072</v>
      </c>
      <c r="G124" s="164" t="s">
        <v>1073</v>
      </c>
      <c r="H124" s="173">
        <v>43859.0</v>
      </c>
      <c r="I124" s="162" t="s">
        <v>1074</v>
      </c>
      <c r="J124" s="162" t="s">
        <v>1071</v>
      </c>
      <c r="K124" s="15" t="s">
        <v>529</v>
      </c>
      <c r="L124" s="15" t="s">
        <v>390</v>
      </c>
      <c r="M124" s="15" t="s">
        <v>31</v>
      </c>
      <c r="N124" s="15" t="s">
        <v>32</v>
      </c>
      <c r="O124" s="15" t="s">
        <v>35</v>
      </c>
      <c r="Q124" s="15" t="s">
        <v>135</v>
      </c>
      <c r="R124" s="166"/>
      <c r="S124" s="120"/>
      <c r="T124" s="69">
        <v>2000000.0</v>
      </c>
      <c r="V124" s="132"/>
      <c r="W124" s="96" t="str">
        <f t="shared" si="125"/>
        <v/>
      </c>
      <c r="X124" s="98">
        <f t="shared" si="126"/>
        <v>2000000</v>
      </c>
      <c r="Y124" s="99" t="str">
        <f t="shared" si="127"/>
        <v>$1M - $2M</v>
      </c>
      <c r="Z124" s="15" t="s">
        <v>36</v>
      </c>
      <c r="AA124" s="15" t="s">
        <v>87</v>
      </c>
      <c r="AB124" s="15" t="s">
        <v>38</v>
      </c>
      <c r="AC124" s="15" t="s">
        <v>469</v>
      </c>
      <c r="AD124" s="15" t="s">
        <v>89</v>
      </c>
      <c r="AE124" s="15" t="s">
        <v>39</v>
      </c>
      <c r="AF124" s="15" t="s">
        <v>469</v>
      </c>
      <c r="AG124" s="69">
        <v>1.0E11</v>
      </c>
      <c r="AH124" s="97" t="str">
        <f t="shared" si="128"/>
        <v>$100B-$250B</v>
      </c>
      <c r="AI124" s="69">
        <v>2.0E7</v>
      </c>
      <c r="AJ124" s="97" t="str">
        <f t="shared" si="129"/>
        <v>&lt; $25M</v>
      </c>
      <c r="AK124" s="167">
        <v>0.03</v>
      </c>
      <c r="AL124" s="88" t="str">
        <f t="shared" si="130"/>
        <v>0%-10%</v>
      </c>
      <c r="AM124" s="15">
        <v>50.0</v>
      </c>
      <c r="AN124" s="15" t="s">
        <v>89</v>
      </c>
      <c r="AO124" s="15" t="s">
        <v>89</v>
      </c>
      <c r="AP124" s="15" t="s">
        <v>40</v>
      </c>
      <c r="AQ124" s="168" t="s">
        <v>89</v>
      </c>
      <c r="AR124" s="168" t="s">
        <v>39</v>
      </c>
      <c r="AS124" s="15" t="s">
        <v>493</v>
      </c>
      <c r="AT124" s="15" t="s">
        <v>469</v>
      </c>
      <c r="AU124" s="15" t="s">
        <v>469</v>
      </c>
      <c r="AV124" s="15" t="s">
        <v>469</v>
      </c>
      <c r="AW124" s="69">
        <v>0.0</v>
      </c>
      <c r="AX124" s="96" t="str">
        <f t="shared" si="131"/>
        <v>&lt; $10K</v>
      </c>
      <c r="AY124" s="69">
        <v>0.0</v>
      </c>
      <c r="AZ124" s="69">
        <v>0.0</v>
      </c>
      <c r="BA124" s="103" t="str">
        <f t="shared" si="132"/>
        <v>&lt; $10K</v>
      </c>
      <c r="BB124" s="103">
        <f t="shared" si="133"/>
        <v>1</v>
      </c>
      <c r="BC124" s="103" t="str">
        <f t="shared" si="134"/>
        <v>90% - 100%</v>
      </c>
      <c r="BD124" s="15" t="s">
        <v>41</v>
      </c>
      <c r="BF124" s="15" t="s">
        <v>493</v>
      </c>
      <c r="BG124" s="15">
        <v>0.0</v>
      </c>
      <c r="BH124" s="15">
        <v>1.0</v>
      </c>
      <c r="BI124" s="15" t="s">
        <v>469</v>
      </c>
      <c r="BJ124" s="15" t="s">
        <v>493</v>
      </c>
      <c r="BK124" s="15" t="s">
        <v>493</v>
      </c>
      <c r="BL124" s="15" t="s">
        <v>469</v>
      </c>
      <c r="BM124" s="15">
        <v>3.0</v>
      </c>
      <c r="BN124" s="15">
        <v>1.0</v>
      </c>
      <c r="BO124" s="15">
        <v>0.0</v>
      </c>
      <c r="BP124" s="15">
        <v>0.0</v>
      </c>
      <c r="BQ124" s="108"/>
      <c r="BR124" s="15">
        <v>15.0</v>
      </c>
      <c r="BS124" s="15">
        <v>0.0</v>
      </c>
      <c r="BT124" s="15">
        <v>0.0</v>
      </c>
      <c r="BU124" s="15">
        <v>47.0</v>
      </c>
      <c r="BV124" s="15" t="s">
        <v>493</v>
      </c>
      <c r="BW124" s="108"/>
      <c r="CC124" s="108"/>
      <c r="CI124" s="108"/>
      <c r="CO124" s="108"/>
      <c r="CU124" s="108"/>
      <c r="DA124" s="108"/>
      <c r="DG124" s="108"/>
      <c r="DM124" s="108"/>
      <c r="DS124" s="108"/>
      <c r="DT124" s="108"/>
      <c r="DU124" s="108"/>
      <c r="DW124" s="109"/>
      <c r="DX124" s="110">
        <f t="shared" si="13"/>
        <v>15</v>
      </c>
      <c r="DY124" s="111">
        <f t="shared" ref="DY124:DZ124" si="307">sum(BS124,BY124,CE124,CK124,CQ124,CW124,DC124,DI124,DO124)</f>
        <v>0</v>
      </c>
      <c r="DZ124" s="111">
        <f t="shared" si="307"/>
        <v>0</v>
      </c>
      <c r="EA124" s="110">
        <f t="shared" si="15"/>
        <v>47</v>
      </c>
      <c r="EB124" s="99" t="str">
        <f t="shared" si="16"/>
        <v>35 - 54</v>
      </c>
      <c r="EC124" s="112"/>
      <c r="ED124" s="113">
        <f t="shared" si="17"/>
        <v>4.8</v>
      </c>
      <c r="EE124" s="114" t="str">
        <f>IF(V124 &lt;&gt; "", 1+((V124-MIN(discount_rates))*(4)/(MAX(discount_rates) - MIN(discount_rates))), "")</f>
        <v/>
      </c>
      <c r="EF124" s="114" t="str">
        <f>IF(Q124="Debt", (1+((S124-MIN(interest_rates))*(4)/(MAX(interest_rates) - MIN(interest_rates)))), "")</f>
        <v/>
      </c>
      <c r="EG124" s="114" t="str">
        <f>IF(OR(Q124="Revenue Share", Q124="Profit Share"), (1+((R124-MIN(return_mutiples))*(4)/(MAX(return_mutiples) - MIN(return_mutiples)))), "")</f>
        <v/>
      </c>
      <c r="EH124" s="115">
        <f t="shared" si="18"/>
        <v>4.8</v>
      </c>
      <c r="EI124" s="116" t="str">
        <f t="shared" si="19"/>
        <v>Equity - Preferred</v>
      </c>
      <c r="EJ124" s="117">
        <f t="shared" si="20"/>
        <v>0.06849315068</v>
      </c>
      <c r="EK124" s="116" t="str">
        <f t="shared" si="21"/>
        <v>Early</v>
      </c>
      <c r="EL124" s="112"/>
      <c r="EM124" s="118">
        <f t="shared" si="22"/>
        <v>1</v>
      </c>
      <c r="EN124" s="118">
        <f t="shared" si="23"/>
        <v>1.7</v>
      </c>
      <c r="EO124" s="119">
        <f t="shared" si="24"/>
        <v>2.7</v>
      </c>
      <c r="EP124" s="115">
        <f>1+((EO124-MIN(market_ratings_sums))*(4)/(MAX(market_ratings_sums) - MIN(market_ratings_sums)))</f>
        <v>1</v>
      </c>
      <c r="EQ124" s="116" t="str">
        <f t="shared" si="25"/>
        <v>Yes</v>
      </c>
      <c r="ER124" s="112"/>
      <c r="ES124" s="123">
        <f>1+((DX124-MIN(industry_experiences))*(4)/(MAX(industry_experiences) - MIN(industry_experiences)))</f>
        <v>2.428571429</v>
      </c>
      <c r="ET124" s="123">
        <f>1+((DY124-MIN(previous_startups))*(4)/(MAX(previous_startups) - MIN(previous_startups)))</f>
        <v>1</v>
      </c>
      <c r="EU124" s="123">
        <f>1+((DZ124-MIN(exits))*(4)/(MAX(exits) - MIN(exits)))</f>
        <v>1</v>
      </c>
      <c r="EV124" s="119">
        <f t="shared" si="26"/>
        <v>4.428571429</v>
      </c>
      <c r="EW124" s="124">
        <f>1+((EV124-MIN(team_ratings_sums))*(4)/(MAX(team_ratings_sums) - MIN(team_ratings_sums)))</f>
        <v>1.782608696</v>
      </c>
      <c r="EX124" s="116" t="str">
        <f t="shared" si="27"/>
        <v>35 - 54</v>
      </c>
      <c r="EY124" s="125">
        <f t="shared" si="28"/>
        <v>0.6849315068</v>
      </c>
      <c r="EZ124" s="116">
        <f t="shared" si="29"/>
        <v>1</v>
      </c>
      <c r="FA124" s="125">
        <f t="shared" si="30"/>
        <v>0.4383561644</v>
      </c>
      <c r="FB124" s="116">
        <f t="shared" si="31"/>
        <v>1</v>
      </c>
      <c r="FC124" s="125">
        <f t="shared" si="32"/>
        <v>0.08219178082</v>
      </c>
      <c r="FD124" s="116" t="str">
        <f t="shared" si="33"/>
        <v>No</v>
      </c>
      <c r="FE124" s="125">
        <f t="shared" si="34"/>
        <v>0.7534246575</v>
      </c>
      <c r="FF124" s="116" t="str">
        <f t="shared" ref="FF124:FH124" si="308">BJ124</f>
        <v>Yes</v>
      </c>
      <c r="FG124" s="116" t="str">
        <f t="shared" si="308"/>
        <v>Yes</v>
      </c>
      <c r="FH124" s="116" t="str">
        <f t="shared" si="308"/>
        <v>No</v>
      </c>
      <c r="FI124" s="112"/>
      <c r="FJ124" s="116" t="str">
        <f t="shared" si="36"/>
        <v>Transactional</v>
      </c>
      <c r="FK124" s="125">
        <f t="shared" si="37"/>
        <v>0.602739726</v>
      </c>
      <c r="FL124" s="116" t="str">
        <f t="shared" si="38"/>
        <v>B2C</v>
      </c>
      <c r="FM124" s="125">
        <f t="shared" si="39"/>
        <v>0.397260274</v>
      </c>
      <c r="FN124" s="116" t="str">
        <f t="shared" si="40"/>
        <v>Low</v>
      </c>
      <c r="FO124" s="125">
        <f t="shared" si="41"/>
        <v>0.4383561644</v>
      </c>
      <c r="FP124" s="116" t="str">
        <f t="shared" si="42"/>
        <v>High</v>
      </c>
      <c r="FQ124" s="125">
        <f t="shared" si="43"/>
        <v>0.6438356164</v>
      </c>
      <c r="FR124" s="112"/>
      <c r="FS124" s="123">
        <f t="shared" si="44"/>
        <v>1</v>
      </c>
      <c r="FT124" s="123">
        <f t="shared" si="45"/>
        <v>1</v>
      </c>
      <c r="FU124" s="123">
        <f t="shared" si="46"/>
        <v>1</v>
      </c>
      <c r="FV124" s="123">
        <f t="shared" si="47"/>
        <v>5</v>
      </c>
      <c r="FW124" s="119">
        <f t="shared" si="48"/>
        <v>8</v>
      </c>
      <c r="FX124" s="115">
        <f>1+((FW124-MIN(performance_ratings_sums))*(4)/(MAX(performance_ratings_sums) - MIN(performance_ratings_sums)))</f>
        <v>1.485981308</v>
      </c>
      <c r="FY124" s="116" t="str">
        <f t="shared" si="49"/>
        <v>Pre-Product</v>
      </c>
      <c r="FZ124" s="126">
        <f t="shared" si="50"/>
        <v>0.2328767123</v>
      </c>
      <c r="GA124" s="112"/>
      <c r="GB124" s="127">
        <f t="shared" si="51"/>
        <v>1</v>
      </c>
      <c r="GC124" s="116" t="str">
        <f t="shared" si="52"/>
        <v>No</v>
      </c>
      <c r="GD124" s="126">
        <f t="shared" si="53"/>
        <v>0.7671232877</v>
      </c>
      <c r="GE124" s="126" t="str">
        <f t="shared" si="54"/>
        <v>Low</v>
      </c>
      <c r="GF124" s="126">
        <f t="shared" si="55"/>
        <v>0.5479452055</v>
      </c>
      <c r="GG124" s="126" t="str">
        <f t="shared" si="56"/>
        <v>High</v>
      </c>
      <c r="GH124" s="126">
        <f t="shared" si="57"/>
        <v>0.8082191781</v>
      </c>
      <c r="GI124" s="112"/>
      <c r="GJ124" s="116"/>
      <c r="GK124" s="119">
        <f t="shared" si="58"/>
        <v>10.06859</v>
      </c>
      <c r="GL124" s="128">
        <f>1+((GK124-MIN(ratings_sums))*(4)/(MAX(ratings_sums) - MIN(ratings_sums)))</f>
        <v>1.88204203</v>
      </c>
    </row>
    <row r="125" ht="15.75" customHeight="1">
      <c r="A125" s="161" t="s">
        <v>681</v>
      </c>
      <c r="B125" s="15">
        <v>1713366.0</v>
      </c>
      <c r="C125" s="162" t="s">
        <v>1075</v>
      </c>
      <c r="D125" s="163">
        <v>43879.48541666667</v>
      </c>
      <c r="E125" s="15" t="s">
        <v>392</v>
      </c>
      <c r="F125" s="164" t="s">
        <v>1076</v>
      </c>
      <c r="G125" s="164" t="s">
        <v>1077</v>
      </c>
      <c r="H125" s="173">
        <v>43791.0</v>
      </c>
      <c r="I125" s="162" t="s">
        <v>1078</v>
      </c>
      <c r="J125" s="162" t="s">
        <v>1075</v>
      </c>
      <c r="K125" s="15" t="s">
        <v>535</v>
      </c>
      <c r="L125" s="15" t="s">
        <v>349</v>
      </c>
      <c r="M125" s="15" t="s">
        <v>31</v>
      </c>
      <c r="N125" s="15" t="s">
        <v>82</v>
      </c>
      <c r="O125" s="15" t="s">
        <v>35</v>
      </c>
      <c r="Q125" s="15" t="s">
        <v>195</v>
      </c>
      <c r="R125" s="166"/>
      <c r="S125" s="120"/>
      <c r="T125" s="69"/>
      <c r="U125" s="69">
        <v>2500000.0</v>
      </c>
      <c r="V125" s="132">
        <v>0.2</v>
      </c>
      <c r="W125" s="96">
        <f t="shared" si="125"/>
        <v>2000000</v>
      </c>
      <c r="X125" s="98">
        <f t="shared" si="126"/>
        <v>2000000</v>
      </c>
      <c r="Y125" s="99" t="str">
        <f t="shared" si="127"/>
        <v>$1M - $2M</v>
      </c>
      <c r="Z125" s="15" t="s">
        <v>36</v>
      </c>
      <c r="AA125" s="15" t="s">
        <v>123</v>
      </c>
      <c r="AB125" s="15" t="s">
        <v>88</v>
      </c>
      <c r="AC125" s="15" t="s">
        <v>493</v>
      </c>
      <c r="AD125" s="15" t="s">
        <v>89</v>
      </c>
      <c r="AE125" s="15" t="s">
        <v>89</v>
      </c>
      <c r="AF125" s="15" t="s">
        <v>493</v>
      </c>
      <c r="AG125" s="69">
        <v>1.5E11</v>
      </c>
      <c r="AH125" s="97" t="str">
        <f t="shared" si="128"/>
        <v>$100B-$250B</v>
      </c>
      <c r="AI125" s="69">
        <v>2.5E10</v>
      </c>
      <c r="AJ125" s="97" t="str">
        <f t="shared" si="129"/>
        <v>$25B-$50B</v>
      </c>
      <c r="AK125" s="167">
        <v>0.2</v>
      </c>
      <c r="AL125" s="88" t="str">
        <f t="shared" si="130"/>
        <v>10%-20%</v>
      </c>
      <c r="AM125" s="15">
        <v>10.0</v>
      </c>
      <c r="AN125" s="15" t="s">
        <v>39</v>
      </c>
      <c r="AO125" s="15" t="s">
        <v>39</v>
      </c>
      <c r="AP125" s="15" t="s">
        <v>90</v>
      </c>
      <c r="AQ125" s="168" t="s">
        <v>39</v>
      </c>
      <c r="AR125" s="168" t="s">
        <v>39</v>
      </c>
      <c r="AS125" s="15" t="s">
        <v>493</v>
      </c>
      <c r="AT125" s="15" t="s">
        <v>469</v>
      </c>
      <c r="AU125" s="15" t="s">
        <v>493</v>
      </c>
      <c r="AV125" s="15" t="s">
        <v>493</v>
      </c>
      <c r="AW125" s="69">
        <v>1020.0</v>
      </c>
      <c r="AX125" s="96" t="str">
        <f t="shared" si="131"/>
        <v>&lt; $10K</v>
      </c>
      <c r="AY125" s="69">
        <v>1492.0</v>
      </c>
      <c r="AZ125" s="69">
        <v>44421.0</v>
      </c>
      <c r="BA125" s="103" t="str">
        <f t="shared" si="132"/>
        <v>$10K - $50K</v>
      </c>
      <c r="BB125" s="103">
        <f t="shared" si="133"/>
        <v>0.03358771752</v>
      </c>
      <c r="BC125" s="103" t="str">
        <f t="shared" si="134"/>
        <v>&lt; 10%</v>
      </c>
      <c r="BD125" s="15" t="s">
        <v>107</v>
      </c>
      <c r="BF125" s="15" t="s">
        <v>469</v>
      </c>
      <c r="BG125" s="15">
        <v>0.0</v>
      </c>
      <c r="BH125" s="15">
        <v>1.0</v>
      </c>
      <c r="BI125" s="15" t="s">
        <v>469</v>
      </c>
      <c r="BJ125" s="15" t="s">
        <v>469</v>
      </c>
      <c r="BK125" s="15" t="s">
        <v>493</v>
      </c>
      <c r="BL125" s="15" t="s">
        <v>469</v>
      </c>
      <c r="BM125" s="15">
        <v>4.0</v>
      </c>
      <c r="BN125" s="15">
        <v>1.0</v>
      </c>
      <c r="BO125" s="15">
        <v>3.0</v>
      </c>
      <c r="BP125" s="15">
        <v>0.0</v>
      </c>
      <c r="BQ125" s="108"/>
      <c r="BR125" s="15">
        <v>10.0</v>
      </c>
      <c r="BS125" s="15">
        <v>4.0</v>
      </c>
      <c r="BT125" s="15">
        <v>0.0</v>
      </c>
      <c r="BU125" s="15">
        <v>39.0</v>
      </c>
      <c r="BV125" s="15" t="s">
        <v>469</v>
      </c>
      <c r="BW125" s="108"/>
      <c r="CC125" s="108"/>
      <c r="CI125" s="108"/>
      <c r="CO125" s="108"/>
      <c r="CU125" s="108"/>
      <c r="DA125" s="108"/>
      <c r="DG125" s="108"/>
      <c r="DM125" s="108"/>
      <c r="DS125" s="108"/>
      <c r="DT125" s="108"/>
      <c r="DU125" s="108"/>
      <c r="DW125" s="109"/>
      <c r="DX125" s="110">
        <f t="shared" si="13"/>
        <v>10</v>
      </c>
      <c r="DY125" s="111">
        <f t="shared" ref="DY125:DZ125" si="309">sum(BS125,BY125,CE125,CK125,CQ125,CW125,DC125,DI125,DO125)</f>
        <v>4</v>
      </c>
      <c r="DZ125" s="111">
        <f t="shared" si="309"/>
        <v>0</v>
      </c>
      <c r="EA125" s="110">
        <f t="shared" si="15"/>
        <v>39</v>
      </c>
      <c r="EB125" s="99" t="str">
        <f t="shared" si="16"/>
        <v>35 - 54</v>
      </c>
      <c r="EC125" s="112"/>
      <c r="ED125" s="113">
        <f t="shared" si="17"/>
        <v>4.8</v>
      </c>
      <c r="EE125" s="114">
        <f>IF(V125 &lt;&gt; "", 1+((V125-MIN(discount_rates))*(4)/(MAX(discount_rates) - MIN(discount_rates))), "")</f>
        <v>3.105263158</v>
      </c>
      <c r="EF125" s="114" t="str">
        <f>IF(Q125="Debt", (1+((S125-MIN(interest_rates))*(4)/(MAX(interest_rates) - MIN(interest_rates)))), "")</f>
        <v/>
      </c>
      <c r="EG125" s="114" t="str">
        <f>IF(OR(Q125="Revenue Share", Q125="Profit Share"), (1+((R125-MIN(return_mutiples))*(4)/(MAX(return_mutiples) - MIN(return_mutiples)))), "")</f>
        <v/>
      </c>
      <c r="EH125" s="115">
        <f t="shared" si="18"/>
        <v>4.8</v>
      </c>
      <c r="EI125" s="116" t="str">
        <f t="shared" si="19"/>
        <v>SAFE</v>
      </c>
      <c r="EJ125" s="117">
        <f t="shared" si="20"/>
        <v>0.3561643836</v>
      </c>
      <c r="EK125" s="116" t="str">
        <f t="shared" si="21"/>
        <v>Early</v>
      </c>
      <c r="EL125" s="112"/>
      <c r="EM125" s="118">
        <f t="shared" si="22"/>
        <v>3.6</v>
      </c>
      <c r="EN125" s="118">
        <f t="shared" si="23"/>
        <v>2.3</v>
      </c>
      <c r="EO125" s="119">
        <f t="shared" si="24"/>
        <v>5.9</v>
      </c>
      <c r="EP125" s="115">
        <f>1+((EO125-MIN(market_ratings_sums))*(4)/(MAX(market_ratings_sums) - MIN(market_ratings_sums)))</f>
        <v>3.245614035</v>
      </c>
      <c r="EQ125" s="116" t="str">
        <f t="shared" si="25"/>
        <v>Yes</v>
      </c>
      <c r="ER125" s="112"/>
      <c r="ES125" s="123">
        <f>1+((DX125-MIN(industry_experiences))*(4)/(MAX(industry_experiences) - MIN(industry_experiences)))</f>
        <v>1.952380952</v>
      </c>
      <c r="ET125" s="123">
        <f>1+((DY125-MIN(previous_startups))*(4)/(MAX(previous_startups) - MIN(previous_startups)))</f>
        <v>2.777777778</v>
      </c>
      <c r="EU125" s="123">
        <f>1+((DZ125-MIN(exits))*(4)/(MAX(exits) - MIN(exits)))</f>
        <v>1</v>
      </c>
      <c r="EV125" s="119">
        <f t="shared" si="26"/>
        <v>5.73015873</v>
      </c>
      <c r="EW125" s="124">
        <f>1+((EV125-MIN(team_ratings_sums))*(4)/(MAX(team_ratings_sums) - MIN(team_ratings_sums)))</f>
        <v>2.495652174</v>
      </c>
      <c r="EX125" s="116" t="str">
        <f t="shared" si="27"/>
        <v>35 - 54</v>
      </c>
      <c r="EY125" s="125">
        <f t="shared" si="28"/>
        <v>0.6849315068</v>
      </c>
      <c r="EZ125" s="116">
        <f t="shared" si="29"/>
        <v>1</v>
      </c>
      <c r="FA125" s="125">
        <f t="shared" si="30"/>
        <v>0.4383561644</v>
      </c>
      <c r="FB125" s="116">
        <f t="shared" si="31"/>
        <v>1</v>
      </c>
      <c r="FC125" s="125">
        <f t="shared" si="32"/>
        <v>0.08219178082</v>
      </c>
      <c r="FD125" s="116" t="str">
        <f t="shared" si="33"/>
        <v>No</v>
      </c>
      <c r="FE125" s="125">
        <f t="shared" si="34"/>
        <v>0.7534246575</v>
      </c>
      <c r="FF125" s="116" t="str">
        <f t="shared" ref="FF125:FH125" si="310">BJ125</f>
        <v>No</v>
      </c>
      <c r="FG125" s="116" t="str">
        <f t="shared" si="310"/>
        <v>Yes</v>
      </c>
      <c r="FH125" s="116" t="str">
        <f t="shared" si="310"/>
        <v>No</v>
      </c>
      <c r="FI125" s="112"/>
      <c r="FJ125" s="116" t="str">
        <f t="shared" si="36"/>
        <v>Transactional</v>
      </c>
      <c r="FK125" s="125">
        <f t="shared" si="37"/>
        <v>0.602739726</v>
      </c>
      <c r="FL125" s="116" t="str">
        <f t="shared" si="38"/>
        <v>B2B/B2C</v>
      </c>
      <c r="FM125" s="125">
        <f t="shared" si="39"/>
        <v>0.3287671233</v>
      </c>
      <c r="FN125" s="116" t="str">
        <f t="shared" si="40"/>
        <v>Low</v>
      </c>
      <c r="FO125" s="125">
        <f t="shared" si="41"/>
        <v>0.4383561644</v>
      </c>
      <c r="FP125" s="116" t="str">
        <f t="shared" si="42"/>
        <v>Low</v>
      </c>
      <c r="FQ125" s="125">
        <f t="shared" si="43"/>
        <v>0.3561643836</v>
      </c>
      <c r="FR125" s="112"/>
      <c r="FS125" s="123">
        <f t="shared" si="44"/>
        <v>5</v>
      </c>
      <c r="FT125" s="123">
        <f t="shared" si="45"/>
        <v>1</v>
      </c>
      <c r="FU125" s="123">
        <f t="shared" si="46"/>
        <v>5</v>
      </c>
      <c r="FV125" s="123">
        <f t="shared" si="47"/>
        <v>4.6</v>
      </c>
      <c r="FW125" s="119">
        <f t="shared" si="48"/>
        <v>15.6</v>
      </c>
      <c r="FX125" s="115">
        <f>1+((FW125-MIN(performance_ratings_sums))*(4)/(MAX(performance_ratings_sums) - MIN(performance_ratings_sums)))</f>
        <v>4.327102804</v>
      </c>
      <c r="FY125" s="116" t="str">
        <f t="shared" si="49"/>
        <v>Pre-Profit</v>
      </c>
      <c r="FZ125" s="126">
        <f t="shared" si="50"/>
        <v>0.4931506849</v>
      </c>
      <c r="GA125" s="112"/>
      <c r="GB125" s="127">
        <f t="shared" si="51"/>
        <v>5</v>
      </c>
      <c r="GC125" s="116" t="str">
        <f t="shared" si="52"/>
        <v>No</v>
      </c>
      <c r="GD125" s="126">
        <f t="shared" si="53"/>
        <v>0.7671232877</v>
      </c>
      <c r="GE125" s="126" t="str">
        <f t="shared" si="54"/>
        <v>High</v>
      </c>
      <c r="GF125" s="126">
        <f t="shared" si="55"/>
        <v>0.4520547945</v>
      </c>
      <c r="GG125" s="126" t="str">
        <f t="shared" si="56"/>
        <v>High</v>
      </c>
      <c r="GH125" s="126">
        <f t="shared" si="57"/>
        <v>0.8082191781</v>
      </c>
      <c r="GI125" s="112"/>
      <c r="GJ125" s="116"/>
      <c r="GK125" s="119">
        <f t="shared" si="58"/>
        <v>19.86836901</v>
      </c>
      <c r="GL125" s="128">
        <f>1+((GK125-MIN(ratings_sums))*(4)/(MAX(ratings_sums) - MIN(ratings_sums)))</f>
        <v>4.889005902</v>
      </c>
    </row>
    <row r="126" ht="15.75" customHeight="1">
      <c r="A126" s="161" t="s">
        <v>681</v>
      </c>
      <c r="B126" s="15">
        <v>1722138.0</v>
      </c>
      <c r="C126" s="162" t="s">
        <v>1079</v>
      </c>
      <c r="D126" s="163"/>
      <c r="E126" s="15" t="s">
        <v>374</v>
      </c>
      <c r="F126" s="164" t="s">
        <v>1080</v>
      </c>
      <c r="G126" s="164" t="s">
        <v>1081</v>
      </c>
      <c r="H126" s="173">
        <v>43896.0</v>
      </c>
      <c r="I126" s="162" t="s">
        <v>1082</v>
      </c>
      <c r="J126" s="162" t="s">
        <v>1079</v>
      </c>
      <c r="K126" s="15" t="s">
        <v>372</v>
      </c>
      <c r="L126" s="15" t="s">
        <v>355</v>
      </c>
      <c r="M126" s="15" t="s">
        <v>31</v>
      </c>
      <c r="N126" s="15" t="s">
        <v>82</v>
      </c>
      <c r="O126" s="15" t="s">
        <v>35</v>
      </c>
      <c r="P126" s="15" t="s">
        <v>104</v>
      </c>
      <c r="Q126" s="15" t="s">
        <v>84</v>
      </c>
      <c r="R126" s="166"/>
      <c r="S126" s="120"/>
      <c r="T126" s="69"/>
      <c r="U126" s="69">
        <v>8000000.0</v>
      </c>
      <c r="V126" s="185">
        <v>0.2</v>
      </c>
      <c r="W126" s="96">
        <f t="shared" si="125"/>
        <v>6400000</v>
      </c>
      <c r="X126" s="98">
        <f t="shared" si="126"/>
        <v>6400000</v>
      </c>
      <c r="Y126" s="99" t="str">
        <f t="shared" si="127"/>
        <v>$6M - $8M</v>
      </c>
      <c r="Z126" s="15" t="s">
        <v>86</v>
      </c>
      <c r="AA126" s="15" t="s">
        <v>123</v>
      </c>
      <c r="AB126" s="15" t="s">
        <v>88</v>
      </c>
      <c r="AC126" s="15" t="s">
        <v>493</v>
      </c>
      <c r="AD126" s="15" t="s">
        <v>39</v>
      </c>
      <c r="AE126" s="15" t="s">
        <v>89</v>
      </c>
      <c r="AF126" s="15" t="s">
        <v>469</v>
      </c>
      <c r="AG126" s="69">
        <v>1.0E10</v>
      </c>
      <c r="AH126" s="97" t="str">
        <f t="shared" si="128"/>
        <v>$10B-$25B</v>
      </c>
      <c r="AI126" s="69">
        <v>2.0E8</v>
      </c>
      <c r="AJ126" s="97" t="str">
        <f t="shared" si="129"/>
        <v>$100M-$250M</v>
      </c>
      <c r="AK126" s="167">
        <v>0.1</v>
      </c>
      <c r="AL126" s="88" t="str">
        <f t="shared" si="130"/>
        <v>0%-10%</v>
      </c>
      <c r="AM126" s="15">
        <v>10.0</v>
      </c>
      <c r="AN126" s="15" t="s">
        <v>39</v>
      </c>
      <c r="AO126" s="15" t="s">
        <v>39</v>
      </c>
      <c r="AP126" s="15" t="s">
        <v>90</v>
      </c>
      <c r="AQ126" s="168" t="s">
        <v>39</v>
      </c>
      <c r="AR126" s="168" t="s">
        <v>89</v>
      </c>
      <c r="AS126" s="15" t="s">
        <v>493</v>
      </c>
      <c r="AT126" s="15" t="s">
        <v>469</v>
      </c>
      <c r="AU126" s="15" t="s">
        <v>493</v>
      </c>
      <c r="AV126" s="15" t="s">
        <v>493</v>
      </c>
      <c r="AW126" s="69">
        <v>647.0</v>
      </c>
      <c r="AX126" s="96" t="str">
        <f t="shared" si="131"/>
        <v>&lt; $10K</v>
      </c>
      <c r="AY126" s="69">
        <v>67939.0</v>
      </c>
      <c r="AZ126" s="69">
        <v>975000.0</v>
      </c>
      <c r="BA126" s="103" t="str">
        <f t="shared" si="132"/>
        <v>$500K - $1M</v>
      </c>
      <c r="BB126" s="103">
        <f t="shared" si="133"/>
        <v>0.06968102564</v>
      </c>
      <c r="BC126" s="103" t="str">
        <f t="shared" si="134"/>
        <v>&lt; 10%</v>
      </c>
      <c r="BD126" s="15" t="s">
        <v>107</v>
      </c>
      <c r="BF126" s="15" t="s">
        <v>493</v>
      </c>
      <c r="BG126" s="15">
        <v>1.0</v>
      </c>
      <c r="BH126" s="15">
        <v>3.0</v>
      </c>
      <c r="BI126" s="15" t="s">
        <v>469</v>
      </c>
      <c r="BJ126" s="15" t="s">
        <v>469</v>
      </c>
      <c r="BK126" s="15" t="s">
        <v>493</v>
      </c>
      <c r="BL126" s="15" t="s">
        <v>493</v>
      </c>
      <c r="BM126" s="15">
        <v>5.0</v>
      </c>
      <c r="BN126" s="15">
        <v>4.0</v>
      </c>
      <c r="BO126" s="15">
        <v>7.0</v>
      </c>
      <c r="BP126" s="15">
        <v>0.0</v>
      </c>
      <c r="BQ126" s="108"/>
      <c r="BR126" s="15">
        <v>5.0</v>
      </c>
      <c r="BS126" s="15">
        <v>2.0</v>
      </c>
      <c r="BT126" s="15">
        <v>0.0</v>
      </c>
      <c r="BU126" s="170">
        <v>32.0</v>
      </c>
      <c r="BV126" s="175" t="s">
        <v>469</v>
      </c>
      <c r="BW126" s="108"/>
      <c r="BX126" s="15">
        <v>0.0</v>
      </c>
      <c r="BY126" s="15">
        <v>1.0</v>
      </c>
      <c r="BZ126" s="15">
        <v>0.0</v>
      </c>
      <c r="CA126" s="15">
        <v>28.0</v>
      </c>
      <c r="CB126" s="15" t="s">
        <v>469</v>
      </c>
      <c r="CC126" s="108"/>
      <c r="CD126" s="15">
        <v>0.0</v>
      </c>
      <c r="CE126" s="15">
        <v>1.0</v>
      </c>
      <c r="CF126" s="15">
        <v>0.0</v>
      </c>
      <c r="CG126" s="15">
        <v>30.0</v>
      </c>
      <c r="CH126" s="15" t="s">
        <v>469</v>
      </c>
      <c r="CI126" s="108"/>
      <c r="CO126" s="108"/>
      <c r="CU126" s="108"/>
      <c r="DA126" s="108"/>
      <c r="DG126" s="108"/>
      <c r="DM126" s="108"/>
      <c r="DS126" s="108"/>
      <c r="DT126" s="108"/>
      <c r="DU126" s="108"/>
      <c r="DW126" s="109"/>
      <c r="DX126" s="110">
        <f t="shared" si="13"/>
        <v>1.666666667</v>
      </c>
      <c r="DY126" s="111">
        <f t="shared" ref="DY126:DZ126" si="311">sum(BS126,BY126,CE126,CK126,CQ126,CW126,DC126,DI126,DO126)</f>
        <v>4</v>
      </c>
      <c r="DZ126" s="111">
        <f t="shared" si="311"/>
        <v>0</v>
      </c>
      <c r="EA126" s="110">
        <f t="shared" si="15"/>
        <v>30</v>
      </c>
      <c r="EB126" s="99" t="str">
        <f t="shared" si="16"/>
        <v>20 - 34</v>
      </c>
      <c r="EC126" s="112"/>
      <c r="ED126" s="113">
        <f t="shared" si="17"/>
        <v>4.2</v>
      </c>
      <c r="EE126" s="114">
        <f>IF(V126 &lt;&gt; "", 1+((V126-MIN(discount_rates))*(4)/(MAX(discount_rates) - MIN(discount_rates))), "")</f>
        <v>3.105263158</v>
      </c>
      <c r="EF126" s="114" t="str">
        <f>IF(Q126="Debt", (1+((S126-MIN(interest_rates))*(4)/(MAX(interest_rates) - MIN(interest_rates)))), "")</f>
        <v/>
      </c>
      <c r="EG126" s="114" t="str">
        <f>IF(OR(Q126="Revenue Share", Q126="Profit Share"), (1+((R126-MIN(return_mutiples))*(4)/(MAX(return_mutiples) - MIN(return_mutiples)))), "")</f>
        <v/>
      </c>
      <c r="EH126" s="115">
        <f t="shared" si="18"/>
        <v>4.2</v>
      </c>
      <c r="EI126" s="116" t="str">
        <f t="shared" si="19"/>
        <v>Convertible Note</v>
      </c>
      <c r="EJ126" s="117">
        <f t="shared" si="20"/>
        <v>0.1232876712</v>
      </c>
      <c r="EK126" s="116" t="str">
        <f t="shared" si="21"/>
        <v>Early</v>
      </c>
      <c r="EL126" s="112"/>
      <c r="EM126" s="118">
        <f t="shared" si="22"/>
        <v>1.9</v>
      </c>
      <c r="EN126" s="118">
        <f t="shared" si="23"/>
        <v>1.7</v>
      </c>
      <c r="EO126" s="119">
        <f t="shared" si="24"/>
        <v>3.6</v>
      </c>
      <c r="EP126" s="115">
        <f>1+((EO126-MIN(market_ratings_sums))*(4)/(MAX(market_ratings_sums) - MIN(market_ratings_sums)))</f>
        <v>1.631578947</v>
      </c>
      <c r="EQ126" s="116" t="str">
        <f t="shared" si="25"/>
        <v>Yes</v>
      </c>
      <c r="ER126" s="112"/>
      <c r="ES126" s="123">
        <f>1+((DX126-MIN(industry_experiences))*(4)/(MAX(industry_experiences) - MIN(industry_experiences)))</f>
        <v>1.158730159</v>
      </c>
      <c r="ET126" s="123">
        <f>1+((DY126-MIN(previous_startups))*(4)/(MAX(previous_startups) - MIN(previous_startups)))</f>
        <v>2.777777778</v>
      </c>
      <c r="EU126" s="123">
        <f>1+((DZ126-MIN(exits))*(4)/(MAX(exits) - MIN(exits)))</f>
        <v>1</v>
      </c>
      <c r="EV126" s="119">
        <f t="shared" si="26"/>
        <v>4.936507937</v>
      </c>
      <c r="EW126" s="124">
        <f>1+((EV126-MIN(team_ratings_sums))*(4)/(MAX(team_ratings_sums) - MIN(team_ratings_sums)))</f>
        <v>2.060869565</v>
      </c>
      <c r="EX126" s="116" t="str">
        <f t="shared" si="27"/>
        <v>20 - 34</v>
      </c>
      <c r="EY126" s="125">
        <f t="shared" si="28"/>
        <v>0.2054794521</v>
      </c>
      <c r="EZ126" s="116">
        <f t="shared" si="29"/>
        <v>3</v>
      </c>
      <c r="FA126" s="125">
        <f t="shared" si="30"/>
        <v>0.05479452055</v>
      </c>
      <c r="FB126" s="116">
        <f t="shared" si="31"/>
        <v>4</v>
      </c>
      <c r="FC126" s="125">
        <f t="shared" si="32"/>
        <v>0.1369863014</v>
      </c>
      <c r="FD126" s="116" t="str">
        <f t="shared" si="33"/>
        <v>No</v>
      </c>
      <c r="FE126" s="125">
        <f t="shared" si="34"/>
        <v>0.7534246575</v>
      </c>
      <c r="FF126" s="116" t="str">
        <f t="shared" ref="FF126:FH126" si="312">BJ126</f>
        <v>No</v>
      </c>
      <c r="FG126" s="116" t="str">
        <f t="shared" si="312"/>
        <v>Yes</v>
      </c>
      <c r="FH126" s="116" t="str">
        <f t="shared" si="312"/>
        <v>Yes</v>
      </c>
      <c r="FI126" s="112"/>
      <c r="FJ126" s="116" t="str">
        <f t="shared" si="36"/>
        <v>Recurring</v>
      </c>
      <c r="FK126" s="125">
        <f t="shared" si="37"/>
        <v>0.397260274</v>
      </c>
      <c r="FL126" s="116" t="str">
        <f t="shared" si="38"/>
        <v>B2B/B2C</v>
      </c>
      <c r="FM126" s="125">
        <f t="shared" si="39"/>
        <v>0.3287671233</v>
      </c>
      <c r="FN126" s="116" t="str">
        <f t="shared" si="40"/>
        <v>High</v>
      </c>
      <c r="FO126" s="125">
        <f t="shared" si="41"/>
        <v>0.5616438356</v>
      </c>
      <c r="FP126" s="116" t="str">
        <f t="shared" si="42"/>
        <v>Low</v>
      </c>
      <c r="FQ126" s="125">
        <f t="shared" si="43"/>
        <v>0.3561643836</v>
      </c>
      <c r="FR126" s="112"/>
      <c r="FS126" s="123">
        <f t="shared" si="44"/>
        <v>5</v>
      </c>
      <c r="FT126" s="123">
        <f t="shared" si="45"/>
        <v>1</v>
      </c>
      <c r="FU126" s="123">
        <f t="shared" si="46"/>
        <v>5</v>
      </c>
      <c r="FV126" s="123">
        <f t="shared" si="47"/>
        <v>3.2</v>
      </c>
      <c r="FW126" s="119">
        <f t="shared" si="48"/>
        <v>14.2</v>
      </c>
      <c r="FX126" s="115">
        <f>1+((FW126-MIN(performance_ratings_sums))*(4)/(MAX(performance_ratings_sums) - MIN(performance_ratings_sums)))</f>
        <v>3.803738318</v>
      </c>
      <c r="FY126" s="116" t="str">
        <f t="shared" si="49"/>
        <v>Pre-Profit</v>
      </c>
      <c r="FZ126" s="126">
        <f t="shared" si="50"/>
        <v>0.4931506849</v>
      </c>
      <c r="GA126" s="112"/>
      <c r="GB126" s="127">
        <f t="shared" si="51"/>
        <v>5</v>
      </c>
      <c r="GC126" s="116" t="str">
        <f t="shared" si="52"/>
        <v>No</v>
      </c>
      <c r="GD126" s="126">
        <f t="shared" si="53"/>
        <v>0.7671232877</v>
      </c>
      <c r="GE126" s="126" t="str">
        <f t="shared" si="54"/>
        <v>High</v>
      </c>
      <c r="GF126" s="126">
        <f t="shared" si="55"/>
        <v>0.4520547945</v>
      </c>
      <c r="GG126" s="126" t="str">
        <f t="shared" si="56"/>
        <v>Low</v>
      </c>
      <c r="GH126" s="126">
        <f t="shared" si="57"/>
        <v>0.1917808219</v>
      </c>
      <c r="GI126" s="112"/>
      <c r="GJ126" s="116"/>
      <c r="GK126" s="119">
        <f t="shared" si="58"/>
        <v>16.69618683</v>
      </c>
      <c r="GL126" s="128">
        <f>1+((GK126-MIN(ratings_sums))*(4)/(MAX(ratings_sums) - MIN(ratings_sums)))</f>
        <v>3.915653624</v>
      </c>
    </row>
    <row r="127" ht="15.75" customHeight="1">
      <c r="A127" s="161" t="s">
        <v>681</v>
      </c>
      <c r="B127" s="15">
        <v>1804340.0</v>
      </c>
      <c r="C127" s="162" t="s">
        <v>1083</v>
      </c>
      <c r="D127" s="163"/>
      <c r="E127" s="15" t="s">
        <v>381</v>
      </c>
      <c r="F127" s="164" t="s">
        <v>1084</v>
      </c>
      <c r="G127" s="164" t="s">
        <v>1085</v>
      </c>
      <c r="H127" s="173">
        <v>43903.0</v>
      </c>
      <c r="I127" s="162" t="s">
        <v>1083</v>
      </c>
      <c r="J127" s="162" t="s">
        <v>1086</v>
      </c>
      <c r="K127" s="15" t="s">
        <v>422</v>
      </c>
      <c r="L127" s="15" t="s">
        <v>390</v>
      </c>
      <c r="M127" s="15" t="s">
        <v>31</v>
      </c>
      <c r="N127" s="15" t="s">
        <v>32</v>
      </c>
      <c r="O127" s="15" t="s">
        <v>35</v>
      </c>
      <c r="Q127" s="15" t="s">
        <v>121</v>
      </c>
      <c r="R127" s="166"/>
      <c r="S127" s="120"/>
      <c r="T127" s="69">
        <v>4500000.0</v>
      </c>
      <c r="U127" s="69"/>
      <c r="V127" s="132"/>
      <c r="W127" s="96" t="str">
        <f t="shared" si="125"/>
        <v/>
      </c>
      <c r="X127" s="98">
        <f t="shared" si="126"/>
        <v>4500000</v>
      </c>
      <c r="Y127" s="99" t="str">
        <f t="shared" si="127"/>
        <v>$4M - $6M</v>
      </c>
      <c r="Z127" s="15" t="s">
        <v>36</v>
      </c>
      <c r="AA127" s="15" t="s">
        <v>123</v>
      </c>
      <c r="AB127" s="15" t="s">
        <v>38</v>
      </c>
      <c r="AC127" s="15" t="s">
        <v>469</v>
      </c>
      <c r="AD127" s="15" t="s">
        <v>39</v>
      </c>
      <c r="AE127" s="15" t="s">
        <v>89</v>
      </c>
      <c r="AF127" s="15" t="s">
        <v>469</v>
      </c>
      <c r="AG127" s="69">
        <v>5.0E9</v>
      </c>
      <c r="AH127" s="97" t="str">
        <f t="shared" si="128"/>
        <v>$5B-$10B</v>
      </c>
      <c r="AI127" s="69">
        <v>2.5E8</v>
      </c>
      <c r="AJ127" s="97" t="str">
        <f t="shared" si="129"/>
        <v>$250M-$500M</v>
      </c>
      <c r="AK127" s="167">
        <v>0.05</v>
      </c>
      <c r="AL127" s="88" t="str">
        <f t="shared" si="130"/>
        <v>0%-10%</v>
      </c>
      <c r="AM127" s="15">
        <v>20.0</v>
      </c>
      <c r="AN127" s="15" t="s">
        <v>89</v>
      </c>
      <c r="AO127" s="15" t="s">
        <v>89</v>
      </c>
      <c r="AP127" s="15" t="s">
        <v>40</v>
      </c>
      <c r="AQ127" s="168" t="s">
        <v>39</v>
      </c>
      <c r="AR127" s="168" t="s">
        <v>39</v>
      </c>
      <c r="AS127" s="15" t="s">
        <v>469</v>
      </c>
      <c r="AT127" s="15" t="s">
        <v>469</v>
      </c>
      <c r="AU127" s="15" t="s">
        <v>493</v>
      </c>
      <c r="AV127" s="15" t="s">
        <v>493</v>
      </c>
      <c r="AW127" s="69">
        <v>255128.0</v>
      </c>
      <c r="AX127" s="96" t="str">
        <f t="shared" si="131"/>
        <v>$100K - $500K</v>
      </c>
      <c r="AY127" s="69">
        <v>1168.0</v>
      </c>
      <c r="AZ127" s="69">
        <v>0.0</v>
      </c>
      <c r="BA127" s="103" t="str">
        <f t="shared" si="132"/>
        <v>&lt; $10K</v>
      </c>
      <c r="BB127" s="103">
        <f t="shared" si="133"/>
        <v>1</v>
      </c>
      <c r="BC127" s="103" t="str">
        <f t="shared" si="134"/>
        <v>90% - 100%</v>
      </c>
      <c r="BD127" s="15" t="s">
        <v>107</v>
      </c>
      <c r="BF127" s="15" t="s">
        <v>469</v>
      </c>
      <c r="BG127" s="15">
        <v>0.0</v>
      </c>
      <c r="BH127" s="15">
        <v>2.0</v>
      </c>
      <c r="BI127" s="15" t="s">
        <v>469</v>
      </c>
      <c r="BJ127" s="15" t="s">
        <v>469</v>
      </c>
      <c r="BK127" s="15" t="s">
        <v>469</v>
      </c>
      <c r="BL127" s="15" t="s">
        <v>469</v>
      </c>
      <c r="BM127" s="15">
        <v>2.0</v>
      </c>
      <c r="BN127" s="15">
        <v>2.0</v>
      </c>
      <c r="BO127" s="15">
        <v>0.0</v>
      </c>
      <c r="BP127" s="15">
        <v>0.0</v>
      </c>
      <c r="BQ127" s="108"/>
      <c r="BR127" s="15">
        <v>5.0</v>
      </c>
      <c r="BS127" s="15">
        <v>1.0</v>
      </c>
      <c r="BT127" s="15">
        <v>0.0</v>
      </c>
      <c r="BU127" s="170">
        <v>55.0</v>
      </c>
      <c r="BV127" s="15" t="s">
        <v>469</v>
      </c>
      <c r="BW127" s="108"/>
      <c r="BX127" s="15">
        <v>10.0</v>
      </c>
      <c r="BY127" s="15">
        <v>0.0</v>
      </c>
      <c r="BZ127" s="15">
        <v>0.0</v>
      </c>
      <c r="CA127" s="15">
        <v>40.0</v>
      </c>
      <c r="CB127" s="15" t="s">
        <v>469</v>
      </c>
      <c r="CC127" s="108"/>
      <c r="CI127" s="108"/>
      <c r="CO127" s="108"/>
      <c r="CU127" s="108"/>
      <c r="DA127" s="108"/>
      <c r="DG127" s="108"/>
      <c r="DM127" s="108"/>
      <c r="DS127" s="108"/>
      <c r="DT127" s="108"/>
      <c r="DU127" s="108"/>
      <c r="DW127" s="109"/>
      <c r="DX127" s="110">
        <f t="shared" si="13"/>
        <v>7.5</v>
      </c>
      <c r="DY127" s="111">
        <f t="shared" ref="DY127:DZ127" si="313">sum(BS127,BY127,CE127,CK127,CQ127,CW127,DC127,DI127,DO127)</f>
        <v>1</v>
      </c>
      <c r="DZ127" s="111">
        <f t="shared" si="313"/>
        <v>0</v>
      </c>
      <c r="EA127" s="110">
        <f t="shared" si="15"/>
        <v>47.5</v>
      </c>
      <c r="EB127" s="99" t="str">
        <f t="shared" si="16"/>
        <v>35 - 54</v>
      </c>
      <c r="EC127" s="112"/>
      <c r="ED127" s="113">
        <f t="shared" si="17"/>
        <v>4.4</v>
      </c>
      <c r="EE127" s="114" t="str">
        <f>IF(V127 &lt;&gt; "", 1+((V127-MIN(discount_rates))*(4)/(MAX(discount_rates) - MIN(discount_rates))), "")</f>
        <v/>
      </c>
      <c r="EF127" s="114" t="str">
        <f>IF(Q127="Debt", (1+((S127-MIN(interest_rates))*(4)/(MAX(interest_rates) - MIN(interest_rates)))), "")</f>
        <v/>
      </c>
      <c r="EG127" s="114" t="str">
        <f>IF(OR(Q127="Revenue Share", Q127="Profit Share"), (1+((R127-MIN(return_mutiples))*(4)/(MAX(return_mutiples) - MIN(return_mutiples)))), "")</f>
        <v/>
      </c>
      <c r="EH127" s="115">
        <f t="shared" si="18"/>
        <v>4.4</v>
      </c>
      <c r="EI127" s="116" t="str">
        <f t="shared" si="19"/>
        <v>Equity - Common</v>
      </c>
      <c r="EJ127" s="117">
        <f t="shared" si="20"/>
        <v>0.3287671233</v>
      </c>
      <c r="EK127" s="116" t="str">
        <f t="shared" si="21"/>
        <v>Early</v>
      </c>
      <c r="EL127" s="112"/>
      <c r="EM127" s="118">
        <f t="shared" si="22"/>
        <v>2.1</v>
      </c>
      <c r="EN127" s="118">
        <f t="shared" si="23"/>
        <v>1.7</v>
      </c>
      <c r="EO127" s="119">
        <f t="shared" si="24"/>
        <v>3.8</v>
      </c>
      <c r="EP127" s="115">
        <f>1+((EO127-MIN(market_ratings_sums))*(4)/(MAX(market_ratings_sums) - MIN(market_ratings_sums)))</f>
        <v>1.771929825</v>
      </c>
      <c r="EQ127" s="116" t="str">
        <f t="shared" si="25"/>
        <v>No</v>
      </c>
      <c r="ER127" s="112"/>
      <c r="ES127" s="123">
        <f>1+((DX127-MIN(industry_experiences))*(4)/(MAX(industry_experiences) - MIN(industry_experiences)))</f>
        <v>1.714285714</v>
      </c>
      <c r="ET127" s="123">
        <f>1+((DY127-MIN(previous_startups))*(4)/(MAX(previous_startups) - MIN(previous_startups)))</f>
        <v>1.444444444</v>
      </c>
      <c r="EU127" s="123">
        <f>1+((DZ127-MIN(exits))*(4)/(MAX(exits) - MIN(exits)))</f>
        <v>1</v>
      </c>
      <c r="EV127" s="119">
        <f t="shared" si="26"/>
        <v>4.158730159</v>
      </c>
      <c r="EW127" s="124">
        <f>1+((EV127-MIN(team_ratings_sums))*(4)/(MAX(team_ratings_sums) - MIN(team_ratings_sums)))</f>
        <v>1.634782609</v>
      </c>
      <c r="EX127" s="116" t="str">
        <f t="shared" si="27"/>
        <v>35 - 54</v>
      </c>
      <c r="EY127" s="125">
        <f t="shared" si="28"/>
        <v>0.6849315068</v>
      </c>
      <c r="EZ127" s="116">
        <f t="shared" si="29"/>
        <v>2</v>
      </c>
      <c r="FA127" s="125">
        <f t="shared" si="30"/>
        <v>0.4520547945</v>
      </c>
      <c r="FB127" s="116">
        <f t="shared" si="31"/>
        <v>2</v>
      </c>
      <c r="FC127" s="125">
        <f t="shared" si="32"/>
        <v>0.1369863014</v>
      </c>
      <c r="FD127" s="116" t="str">
        <f t="shared" si="33"/>
        <v>No</v>
      </c>
      <c r="FE127" s="125">
        <f t="shared" si="34"/>
        <v>0.7534246575</v>
      </c>
      <c r="FF127" s="116" t="str">
        <f t="shared" ref="FF127:FH127" si="314">BJ127</f>
        <v>No</v>
      </c>
      <c r="FG127" s="116" t="str">
        <f t="shared" si="314"/>
        <v>No</v>
      </c>
      <c r="FH127" s="116" t="str">
        <f t="shared" si="314"/>
        <v>No</v>
      </c>
      <c r="FI127" s="112"/>
      <c r="FJ127" s="116" t="str">
        <f t="shared" si="36"/>
        <v>Transactional</v>
      </c>
      <c r="FK127" s="125">
        <f t="shared" si="37"/>
        <v>0.602739726</v>
      </c>
      <c r="FL127" s="116" t="str">
        <f t="shared" si="38"/>
        <v>B2B/B2C</v>
      </c>
      <c r="FM127" s="125">
        <f t="shared" si="39"/>
        <v>0.3287671233</v>
      </c>
      <c r="FN127" s="116" t="str">
        <f t="shared" si="40"/>
        <v>High</v>
      </c>
      <c r="FO127" s="125">
        <f t="shared" si="41"/>
        <v>0.5616438356</v>
      </c>
      <c r="FP127" s="116" t="str">
        <f t="shared" si="42"/>
        <v>Low</v>
      </c>
      <c r="FQ127" s="125">
        <f t="shared" si="43"/>
        <v>0.3561643836</v>
      </c>
      <c r="FR127" s="112"/>
      <c r="FS127" s="123">
        <f t="shared" si="44"/>
        <v>5</v>
      </c>
      <c r="FT127" s="123">
        <f t="shared" si="45"/>
        <v>2.3</v>
      </c>
      <c r="FU127" s="123">
        <f t="shared" si="46"/>
        <v>1</v>
      </c>
      <c r="FV127" s="123">
        <f t="shared" si="47"/>
        <v>5</v>
      </c>
      <c r="FW127" s="119">
        <f t="shared" si="48"/>
        <v>13.3</v>
      </c>
      <c r="FX127" s="115">
        <f>1+((FW127-MIN(performance_ratings_sums))*(4)/(MAX(performance_ratings_sums) - MIN(performance_ratings_sums)))</f>
        <v>3.46728972</v>
      </c>
      <c r="FY127" s="116" t="str">
        <f t="shared" si="49"/>
        <v>Pre-Profit</v>
      </c>
      <c r="FZ127" s="126">
        <f t="shared" si="50"/>
        <v>0.4931506849</v>
      </c>
      <c r="GA127" s="112"/>
      <c r="GB127" s="127">
        <f t="shared" si="51"/>
        <v>1</v>
      </c>
      <c r="GC127" s="116" t="str">
        <f t="shared" si="52"/>
        <v>No</v>
      </c>
      <c r="GD127" s="126">
        <f t="shared" si="53"/>
        <v>0.7671232877</v>
      </c>
      <c r="GE127" s="126" t="str">
        <f t="shared" si="54"/>
        <v>High</v>
      </c>
      <c r="GF127" s="126">
        <f t="shared" si="55"/>
        <v>0.4520547945</v>
      </c>
      <c r="GG127" s="126" t="str">
        <f t="shared" si="56"/>
        <v>High</v>
      </c>
      <c r="GH127" s="126">
        <f t="shared" si="57"/>
        <v>0.8082191781</v>
      </c>
      <c r="GI127" s="112"/>
      <c r="GJ127" s="116"/>
      <c r="GK127" s="119">
        <f t="shared" si="58"/>
        <v>12.27400215</v>
      </c>
      <c r="GL127" s="128">
        <f>1+((GK127-MIN(ratings_sums))*(4)/(MAX(ratings_sums) - MIN(ratings_sums)))</f>
        <v>2.558750622</v>
      </c>
    </row>
    <row r="128" ht="15.75" customHeight="1">
      <c r="A128" s="161" t="s">
        <v>681</v>
      </c>
      <c r="B128" s="15">
        <v>1754733.0</v>
      </c>
      <c r="C128" s="162" t="s">
        <v>1087</v>
      </c>
      <c r="D128" s="163"/>
      <c r="E128" s="15" t="s">
        <v>230</v>
      </c>
      <c r="F128" s="164" t="s">
        <v>1088</v>
      </c>
      <c r="G128" s="164" t="s">
        <v>1089</v>
      </c>
      <c r="H128" s="173">
        <v>43900.0</v>
      </c>
      <c r="I128" s="162" t="s">
        <v>1090</v>
      </c>
      <c r="J128" s="162" t="s">
        <v>1087</v>
      </c>
      <c r="K128" s="15" t="s">
        <v>422</v>
      </c>
      <c r="L128" s="15" t="s">
        <v>390</v>
      </c>
      <c r="M128" s="15" t="s">
        <v>31</v>
      </c>
      <c r="N128" s="15" t="s">
        <v>82</v>
      </c>
      <c r="O128" s="15" t="s">
        <v>35</v>
      </c>
      <c r="Q128" s="15" t="s">
        <v>121</v>
      </c>
      <c r="R128" s="166"/>
      <c r="S128" s="120"/>
      <c r="T128" s="69">
        <v>4000000.0</v>
      </c>
      <c r="U128" s="69"/>
      <c r="V128" s="132"/>
      <c r="W128" s="96" t="str">
        <f t="shared" si="125"/>
        <v/>
      </c>
      <c r="X128" s="98">
        <f t="shared" si="126"/>
        <v>4000000</v>
      </c>
      <c r="Y128" s="99" t="str">
        <f t="shared" si="127"/>
        <v>$2M - $4M</v>
      </c>
      <c r="Z128" s="15" t="s">
        <v>36</v>
      </c>
      <c r="AA128" s="15" t="s">
        <v>123</v>
      </c>
      <c r="AB128" s="15" t="s">
        <v>38</v>
      </c>
      <c r="AC128" s="15" t="s">
        <v>469</v>
      </c>
      <c r="AD128" s="15" t="s">
        <v>89</v>
      </c>
      <c r="AE128" s="15" t="s">
        <v>89</v>
      </c>
      <c r="AF128" s="15" t="s">
        <v>469</v>
      </c>
      <c r="AG128" s="69">
        <v>8.0E10</v>
      </c>
      <c r="AH128" s="97" t="str">
        <f t="shared" si="128"/>
        <v>$50B-$100B</v>
      </c>
      <c r="AI128" s="69">
        <v>1.0E9</v>
      </c>
      <c r="AJ128" s="97" t="str">
        <f t="shared" si="129"/>
        <v>$1B-$5B</v>
      </c>
      <c r="AK128" s="167">
        <v>0.03</v>
      </c>
      <c r="AL128" s="88" t="str">
        <f t="shared" si="130"/>
        <v>0%-10%</v>
      </c>
      <c r="AM128" s="15">
        <v>20.0</v>
      </c>
      <c r="AN128" s="15" t="s">
        <v>39</v>
      </c>
      <c r="AO128" s="15" t="s">
        <v>89</v>
      </c>
      <c r="AP128" s="15" t="s">
        <v>40</v>
      </c>
      <c r="AQ128" s="168" t="s">
        <v>89</v>
      </c>
      <c r="AR128" s="168" t="s">
        <v>39</v>
      </c>
      <c r="AS128" s="15" t="s">
        <v>469</v>
      </c>
      <c r="AT128" s="15" t="s">
        <v>469</v>
      </c>
      <c r="AU128" s="15" t="s">
        <v>493</v>
      </c>
      <c r="AV128" s="15" t="s">
        <v>493</v>
      </c>
      <c r="AW128" s="69">
        <v>8008.0</v>
      </c>
      <c r="AX128" s="96" t="str">
        <f t="shared" si="131"/>
        <v>&lt; $10K</v>
      </c>
      <c r="AY128" s="69">
        <v>8418.0</v>
      </c>
      <c r="AZ128" s="69">
        <v>0.0</v>
      </c>
      <c r="BA128" s="103" t="str">
        <f t="shared" si="132"/>
        <v>&lt; $10K</v>
      </c>
      <c r="BB128" s="103">
        <f t="shared" si="133"/>
        <v>1</v>
      </c>
      <c r="BC128" s="103" t="str">
        <f t="shared" si="134"/>
        <v>90% - 100%</v>
      </c>
      <c r="BD128" s="15" t="s">
        <v>107</v>
      </c>
      <c r="BF128" s="15" t="s">
        <v>469</v>
      </c>
      <c r="BG128" s="15">
        <v>0.0</v>
      </c>
      <c r="BH128" s="15">
        <v>3.0</v>
      </c>
      <c r="BI128" s="15" t="s">
        <v>493</v>
      </c>
      <c r="BJ128" s="15" t="s">
        <v>493</v>
      </c>
      <c r="BK128" s="15" t="s">
        <v>493</v>
      </c>
      <c r="BL128" s="15" t="s">
        <v>469</v>
      </c>
      <c r="BM128" s="15">
        <v>4.0</v>
      </c>
      <c r="BN128" s="15">
        <v>3.0</v>
      </c>
      <c r="BO128" s="15">
        <v>0.0</v>
      </c>
      <c r="BP128" s="15">
        <v>0.0</v>
      </c>
      <c r="BQ128" s="108"/>
      <c r="BR128" s="15">
        <v>20.0</v>
      </c>
      <c r="BS128" s="15">
        <v>0.0</v>
      </c>
      <c r="BT128" s="15">
        <v>0.0</v>
      </c>
      <c r="BU128" s="15">
        <v>40.0</v>
      </c>
      <c r="BV128" s="15" t="s">
        <v>493</v>
      </c>
      <c r="BW128" s="108"/>
      <c r="BX128" s="15">
        <v>10.0</v>
      </c>
      <c r="BY128" s="15">
        <v>0.0</v>
      </c>
      <c r="BZ128" s="15">
        <v>0.0</v>
      </c>
      <c r="CA128" s="15">
        <v>30.0</v>
      </c>
      <c r="CB128" s="15" t="s">
        <v>469</v>
      </c>
      <c r="CC128" s="108"/>
      <c r="CD128" s="15">
        <v>10.0</v>
      </c>
      <c r="CE128" s="15">
        <v>0.0</v>
      </c>
      <c r="CF128" s="15">
        <v>0.0</v>
      </c>
      <c r="CG128" s="15">
        <v>40.0</v>
      </c>
      <c r="CH128" s="15" t="s">
        <v>493</v>
      </c>
      <c r="CI128" s="108"/>
      <c r="CO128" s="108"/>
      <c r="CU128" s="108"/>
      <c r="DA128" s="108"/>
      <c r="DG128" s="108"/>
      <c r="DM128" s="108"/>
      <c r="DS128" s="108"/>
      <c r="DT128" s="108"/>
      <c r="DU128" s="108"/>
      <c r="DW128" s="109"/>
      <c r="DX128" s="110">
        <f t="shared" si="13"/>
        <v>13.33333333</v>
      </c>
      <c r="DY128" s="111">
        <f t="shared" ref="DY128:DZ128" si="315">sum(BS128,BY128,CE128,CK128,CQ128,CW128,DC128,DI128,DO128)</f>
        <v>0</v>
      </c>
      <c r="DZ128" s="111">
        <f t="shared" si="315"/>
        <v>0</v>
      </c>
      <c r="EA128" s="110">
        <f t="shared" si="15"/>
        <v>36.66666667</v>
      </c>
      <c r="EB128" s="99" t="str">
        <f t="shared" si="16"/>
        <v>35 - 54</v>
      </c>
      <c r="EC128" s="112"/>
      <c r="ED128" s="113">
        <f t="shared" si="17"/>
        <v>4.6</v>
      </c>
      <c r="EE128" s="114" t="str">
        <f>IF(V128 &lt;&gt; "", 1+((V128-MIN(discount_rates))*(4)/(MAX(discount_rates) - MIN(discount_rates))), "")</f>
        <v/>
      </c>
      <c r="EF128" s="114" t="str">
        <f>IF(Q128="Debt", (1+((S128-MIN(interest_rates))*(4)/(MAX(interest_rates) - MIN(interest_rates)))), "")</f>
        <v/>
      </c>
      <c r="EG128" s="114" t="str">
        <f>IF(OR(Q128="Revenue Share", Q128="Profit Share"), (1+((R128-MIN(return_mutiples))*(4)/(MAX(return_mutiples) - MIN(return_mutiples)))), "")</f>
        <v/>
      </c>
      <c r="EH128" s="115">
        <f t="shared" si="18"/>
        <v>4.6</v>
      </c>
      <c r="EI128" s="116" t="str">
        <f t="shared" si="19"/>
        <v>Equity - Common</v>
      </c>
      <c r="EJ128" s="117">
        <f t="shared" si="20"/>
        <v>0.3287671233</v>
      </c>
      <c r="EK128" s="116" t="str">
        <f t="shared" si="21"/>
        <v>Early</v>
      </c>
      <c r="EL128" s="112"/>
      <c r="EM128" s="118">
        <f t="shared" si="22"/>
        <v>2.7</v>
      </c>
      <c r="EN128" s="118">
        <f t="shared" si="23"/>
        <v>1.7</v>
      </c>
      <c r="EO128" s="119">
        <f t="shared" si="24"/>
        <v>4.4</v>
      </c>
      <c r="EP128" s="115">
        <f>1+((EO128-MIN(market_ratings_sums))*(4)/(MAX(market_ratings_sums) - MIN(market_ratings_sums)))</f>
        <v>2.192982456</v>
      </c>
      <c r="EQ128" s="116" t="str">
        <f t="shared" si="25"/>
        <v>No</v>
      </c>
      <c r="ER128" s="112"/>
      <c r="ES128" s="123">
        <f>1+((DX128-MIN(industry_experiences))*(4)/(MAX(industry_experiences) - MIN(industry_experiences)))</f>
        <v>2.26984127</v>
      </c>
      <c r="ET128" s="123">
        <f>1+((DY128-MIN(previous_startups))*(4)/(MAX(previous_startups) - MIN(previous_startups)))</f>
        <v>1</v>
      </c>
      <c r="EU128" s="123">
        <f>1+((DZ128-MIN(exits))*(4)/(MAX(exits) - MIN(exits)))</f>
        <v>1</v>
      </c>
      <c r="EV128" s="119">
        <f t="shared" si="26"/>
        <v>4.26984127</v>
      </c>
      <c r="EW128" s="124">
        <f>1+((EV128-MIN(team_ratings_sums))*(4)/(MAX(team_ratings_sums) - MIN(team_ratings_sums)))</f>
        <v>1.695652174</v>
      </c>
      <c r="EX128" s="116" t="str">
        <f t="shared" si="27"/>
        <v>35 - 54</v>
      </c>
      <c r="EY128" s="125">
        <f t="shared" si="28"/>
        <v>0.6849315068</v>
      </c>
      <c r="EZ128" s="116">
        <f t="shared" si="29"/>
        <v>3</v>
      </c>
      <c r="FA128" s="125">
        <f t="shared" si="30"/>
        <v>0.05479452055</v>
      </c>
      <c r="FB128" s="116">
        <f t="shared" si="31"/>
        <v>3</v>
      </c>
      <c r="FC128" s="125">
        <f t="shared" si="32"/>
        <v>0.08219178082</v>
      </c>
      <c r="FD128" s="116" t="str">
        <f t="shared" si="33"/>
        <v>Yes</v>
      </c>
      <c r="FE128" s="125">
        <f t="shared" si="34"/>
        <v>0.2465753425</v>
      </c>
      <c r="FF128" s="116" t="str">
        <f t="shared" ref="FF128:FH128" si="316">BJ128</f>
        <v>Yes</v>
      </c>
      <c r="FG128" s="116" t="str">
        <f t="shared" si="316"/>
        <v>Yes</v>
      </c>
      <c r="FH128" s="116" t="str">
        <f t="shared" si="316"/>
        <v>No</v>
      </c>
      <c r="FI128" s="112"/>
      <c r="FJ128" s="116" t="str">
        <f t="shared" si="36"/>
        <v>Transactional</v>
      </c>
      <c r="FK128" s="125">
        <f t="shared" si="37"/>
        <v>0.602739726</v>
      </c>
      <c r="FL128" s="116" t="str">
        <f t="shared" si="38"/>
        <v>B2B/B2C</v>
      </c>
      <c r="FM128" s="125">
        <f t="shared" si="39"/>
        <v>0.3287671233</v>
      </c>
      <c r="FN128" s="116" t="str">
        <f t="shared" si="40"/>
        <v>Low</v>
      </c>
      <c r="FO128" s="125">
        <f t="shared" si="41"/>
        <v>0.4383561644</v>
      </c>
      <c r="FP128" s="116" t="str">
        <f t="shared" si="42"/>
        <v>Low</v>
      </c>
      <c r="FQ128" s="125">
        <f t="shared" si="43"/>
        <v>0.3561643836</v>
      </c>
      <c r="FR128" s="112"/>
      <c r="FS128" s="123">
        <f t="shared" si="44"/>
        <v>5</v>
      </c>
      <c r="FT128" s="123">
        <f t="shared" si="45"/>
        <v>1</v>
      </c>
      <c r="FU128" s="123">
        <f t="shared" si="46"/>
        <v>1</v>
      </c>
      <c r="FV128" s="123">
        <f t="shared" si="47"/>
        <v>5</v>
      </c>
      <c r="FW128" s="119">
        <f t="shared" si="48"/>
        <v>12</v>
      </c>
      <c r="FX128" s="115">
        <f>1+((FW128-MIN(performance_ratings_sums))*(4)/(MAX(performance_ratings_sums) - MIN(performance_ratings_sums)))</f>
        <v>2.981308411</v>
      </c>
      <c r="FY128" s="116" t="str">
        <f t="shared" si="49"/>
        <v>Pre-Profit</v>
      </c>
      <c r="FZ128" s="126">
        <f t="shared" si="50"/>
        <v>0.4931506849</v>
      </c>
      <c r="GA128" s="112"/>
      <c r="GB128" s="127">
        <f t="shared" si="51"/>
        <v>3</v>
      </c>
      <c r="GC128" s="116" t="str">
        <f t="shared" si="52"/>
        <v>No</v>
      </c>
      <c r="GD128" s="126">
        <f t="shared" si="53"/>
        <v>0.7671232877</v>
      </c>
      <c r="GE128" s="126" t="str">
        <f t="shared" si="54"/>
        <v>Low</v>
      </c>
      <c r="GF128" s="126">
        <f t="shared" si="55"/>
        <v>0.5479452055</v>
      </c>
      <c r="GG128" s="126" t="str">
        <f t="shared" si="56"/>
        <v>High</v>
      </c>
      <c r="GH128" s="126">
        <f t="shared" si="57"/>
        <v>0.8082191781</v>
      </c>
      <c r="GI128" s="112"/>
      <c r="GJ128" s="116"/>
      <c r="GK128" s="119">
        <f t="shared" si="58"/>
        <v>14.46994304</v>
      </c>
      <c r="GL128" s="128">
        <f>1+((GK128-MIN(ratings_sums))*(4)/(MAX(ratings_sums) - MIN(ratings_sums)))</f>
        <v>3.232553053</v>
      </c>
    </row>
    <row r="129" ht="15.75" customHeight="1">
      <c r="A129" s="161" t="s">
        <v>681</v>
      </c>
      <c r="B129" s="15">
        <v>1803581.0</v>
      </c>
      <c r="C129" s="162" t="s">
        <v>1091</v>
      </c>
      <c r="D129" s="163"/>
      <c r="E129" s="15" t="s">
        <v>374</v>
      </c>
      <c r="F129" s="164" t="s">
        <v>1092</v>
      </c>
      <c r="G129" s="164" t="s">
        <v>1093</v>
      </c>
      <c r="H129" s="173">
        <v>43917.0</v>
      </c>
      <c r="I129" s="162" t="s">
        <v>1094</v>
      </c>
      <c r="J129" s="162" t="s">
        <v>1095</v>
      </c>
      <c r="K129" s="15" t="s">
        <v>402</v>
      </c>
      <c r="L129" s="15" t="s">
        <v>316</v>
      </c>
      <c r="M129" s="15" t="s">
        <v>31</v>
      </c>
      <c r="N129" s="15" t="s">
        <v>32</v>
      </c>
      <c r="O129" s="15" t="s">
        <v>35</v>
      </c>
      <c r="P129" s="15" t="s">
        <v>104</v>
      </c>
      <c r="Q129" s="15" t="s">
        <v>84</v>
      </c>
      <c r="R129" s="166"/>
      <c r="S129" s="120"/>
      <c r="U129" s="69">
        <v>2000000.0</v>
      </c>
      <c r="V129" s="132">
        <v>0.2</v>
      </c>
      <c r="W129" s="96">
        <f t="shared" si="125"/>
        <v>1600000</v>
      </c>
      <c r="X129" s="99">
        <f t="shared" si="126"/>
        <v>1600000</v>
      </c>
      <c r="Y129" s="99" t="str">
        <f t="shared" si="127"/>
        <v>$1M - $2M</v>
      </c>
      <c r="Z129" s="15" t="s">
        <v>36</v>
      </c>
      <c r="AA129" s="15" t="s">
        <v>87</v>
      </c>
      <c r="AB129" s="15" t="s">
        <v>88</v>
      </c>
      <c r="AC129" s="15" t="s">
        <v>493</v>
      </c>
      <c r="AD129" s="15" t="s">
        <v>39</v>
      </c>
      <c r="AE129" s="15" t="s">
        <v>89</v>
      </c>
      <c r="AF129" s="15" t="s">
        <v>493</v>
      </c>
      <c r="AG129" s="69">
        <v>1.0E10</v>
      </c>
      <c r="AH129" s="97" t="str">
        <f t="shared" si="128"/>
        <v>$10B-$25B</v>
      </c>
      <c r="AI129" s="69">
        <v>2.0E9</v>
      </c>
      <c r="AJ129" s="97" t="str">
        <f t="shared" si="129"/>
        <v>$1B-$5B</v>
      </c>
      <c r="AK129" s="167">
        <v>0.2</v>
      </c>
      <c r="AL129" s="88" t="str">
        <f t="shared" si="130"/>
        <v>10%-20%</v>
      </c>
      <c r="AM129" s="15">
        <v>5.0</v>
      </c>
      <c r="AN129" s="15" t="s">
        <v>39</v>
      </c>
      <c r="AO129" s="15" t="s">
        <v>89</v>
      </c>
      <c r="AP129" s="15" t="s">
        <v>90</v>
      </c>
      <c r="AQ129" s="168" t="s">
        <v>39</v>
      </c>
      <c r="AR129" s="168" t="s">
        <v>39</v>
      </c>
      <c r="AS129" s="15" t="s">
        <v>469</v>
      </c>
      <c r="AT129" s="15" t="s">
        <v>469</v>
      </c>
      <c r="AU129" s="15" t="s">
        <v>493</v>
      </c>
      <c r="AV129" s="15" t="s">
        <v>493</v>
      </c>
      <c r="AW129" s="69">
        <v>11163.0</v>
      </c>
      <c r="AX129" s="96" t="str">
        <f t="shared" si="131"/>
        <v>$10K - $50K</v>
      </c>
      <c r="AY129" s="69">
        <v>11741.0</v>
      </c>
      <c r="AZ129" s="69">
        <v>173798.0</v>
      </c>
      <c r="BA129" s="103" t="str">
        <f t="shared" si="132"/>
        <v>$100K - $500K</v>
      </c>
      <c r="BB129" s="103">
        <f t="shared" si="133"/>
        <v>0.06755543792</v>
      </c>
      <c r="BC129" s="103" t="str">
        <f t="shared" si="134"/>
        <v>&lt; 10%</v>
      </c>
      <c r="BD129" s="15" t="s">
        <v>107</v>
      </c>
      <c r="BF129" s="15" t="s">
        <v>469</v>
      </c>
      <c r="BG129" s="15">
        <v>0.0</v>
      </c>
      <c r="BH129" s="15">
        <v>3.0</v>
      </c>
      <c r="BI129" s="15" t="s">
        <v>469</v>
      </c>
      <c r="BJ129" s="15" t="s">
        <v>469</v>
      </c>
      <c r="BK129" s="15" t="s">
        <v>493</v>
      </c>
      <c r="BL129" s="15" t="s">
        <v>469</v>
      </c>
      <c r="BM129" s="15">
        <v>6.0</v>
      </c>
      <c r="BN129" s="15">
        <v>2.0</v>
      </c>
      <c r="BO129" s="15">
        <v>1.0</v>
      </c>
      <c r="BP129" s="15">
        <v>1.0</v>
      </c>
      <c r="BQ129" s="108"/>
      <c r="BR129" s="15">
        <v>5.0</v>
      </c>
      <c r="BS129" s="15">
        <v>2.0</v>
      </c>
      <c r="BT129" s="15">
        <v>0.0</v>
      </c>
      <c r="BU129" s="170">
        <v>31.0</v>
      </c>
      <c r="BV129" s="175" t="s">
        <v>469</v>
      </c>
      <c r="BW129" s="108"/>
      <c r="BX129" s="15">
        <v>5.0</v>
      </c>
      <c r="BY129" s="15">
        <v>0.0</v>
      </c>
      <c r="BZ129" s="15">
        <v>0.0</v>
      </c>
      <c r="CA129" s="15">
        <v>35.0</v>
      </c>
      <c r="CB129" s="15" t="s">
        <v>469</v>
      </c>
      <c r="CC129" s="108"/>
      <c r="CD129" s="15">
        <v>10.0</v>
      </c>
      <c r="CE129" s="15">
        <v>4.0</v>
      </c>
      <c r="CF129" s="15">
        <v>4.0</v>
      </c>
      <c r="CG129" s="15">
        <v>39.0</v>
      </c>
      <c r="CH129" s="15" t="s">
        <v>493</v>
      </c>
      <c r="CI129" s="108"/>
      <c r="CO129" s="108"/>
      <c r="CU129" s="108"/>
      <c r="DA129" s="108"/>
      <c r="DG129" s="108"/>
      <c r="DM129" s="108"/>
      <c r="DS129" s="108"/>
      <c r="DT129" s="108"/>
      <c r="DU129" s="108"/>
      <c r="DW129" s="109"/>
      <c r="DX129" s="110">
        <f t="shared" si="13"/>
        <v>6.666666667</v>
      </c>
      <c r="DY129" s="111">
        <f t="shared" ref="DY129:DZ129" si="317">sum(BS129,BY129,CE129,CK129,CQ129,CW129,DC129,DI129,DO129)</f>
        <v>6</v>
      </c>
      <c r="DZ129" s="111">
        <f t="shared" si="317"/>
        <v>4</v>
      </c>
      <c r="EA129" s="110">
        <f t="shared" si="15"/>
        <v>35</v>
      </c>
      <c r="EB129" s="99" t="str">
        <f t="shared" si="16"/>
        <v>35 - 54</v>
      </c>
      <c r="EC129" s="112"/>
      <c r="ED129" s="113">
        <f t="shared" si="17"/>
        <v>4.8</v>
      </c>
      <c r="EE129" s="114">
        <f>IF(V129 &lt;&gt; "", 1+((V129-MIN(discount_rates))*(4)/(MAX(discount_rates) - MIN(discount_rates))), "")</f>
        <v>3.105263158</v>
      </c>
      <c r="EF129" s="114" t="str">
        <f>IF(Q129="Debt", (1+((S129-MIN(interest_rates))*(4)/(MAX(interest_rates) - MIN(interest_rates)))), "")</f>
        <v/>
      </c>
      <c r="EG129" s="114" t="str">
        <f>IF(OR(Q129="Revenue Share", Q129="Profit Share"), (1+((R129-MIN(return_mutiples))*(4)/(MAX(return_mutiples) - MIN(return_mutiples)))), "")</f>
        <v/>
      </c>
      <c r="EH129" s="115">
        <f t="shared" si="18"/>
        <v>4.8</v>
      </c>
      <c r="EI129" s="116" t="str">
        <f t="shared" si="19"/>
        <v>Convertible Note</v>
      </c>
      <c r="EJ129" s="117">
        <f t="shared" si="20"/>
        <v>0.1232876712</v>
      </c>
      <c r="EK129" s="116" t="str">
        <f t="shared" si="21"/>
        <v>Early</v>
      </c>
      <c r="EL129" s="112"/>
      <c r="EM129" s="118">
        <f t="shared" si="22"/>
        <v>2.7</v>
      </c>
      <c r="EN129" s="118">
        <f t="shared" si="23"/>
        <v>2.3</v>
      </c>
      <c r="EO129" s="119">
        <f t="shared" si="24"/>
        <v>5</v>
      </c>
      <c r="EP129" s="115">
        <f>1+((EO129-MIN(market_ratings_sums))*(4)/(MAX(market_ratings_sums) - MIN(market_ratings_sums)))</f>
        <v>2.614035088</v>
      </c>
      <c r="EQ129" s="116" t="str">
        <f t="shared" si="25"/>
        <v>No</v>
      </c>
      <c r="ER129" s="112"/>
      <c r="ES129" s="123">
        <f>1+((DX129-MIN(industry_experiences))*(4)/(MAX(industry_experiences) - MIN(industry_experiences)))</f>
        <v>1.634920635</v>
      </c>
      <c r="ET129" s="123">
        <f>1+((DY129-MIN(previous_startups))*(4)/(MAX(previous_startups) - MIN(previous_startups)))</f>
        <v>3.666666667</v>
      </c>
      <c r="EU129" s="123">
        <f>1+((DZ129-MIN(exits))*(4)/(MAX(exits) - MIN(exits)))</f>
        <v>5</v>
      </c>
      <c r="EV129" s="119">
        <f t="shared" si="26"/>
        <v>10.3015873</v>
      </c>
      <c r="EW129" s="124">
        <f>1+((EV129-MIN(team_ratings_sums))*(4)/(MAX(team_ratings_sums) - MIN(team_ratings_sums)))</f>
        <v>5</v>
      </c>
      <c r="EX129" s="116" t="str">
        <f t="shared" si="27"/>
        <v>35 - 54</v>
      </c>
      <c r="EY129" s="125">
        <f t="shared" si="28"/>
        <v>0.6849315068</v>
      </c>
      <c r="EZ129" s="116">
        <f t="shared" si="29"/>
        <v>3</v>
      </c>
      <c r="FA129" s="125">
        <f t="shared" si="30"/>
        <v>0.05479452055</v>
      </c>
      <c r="FB129" s="116">
        <f t="shared" si="31"/>
        <v>2</v>
      </c>
      <c r="FC129" s="125">
        <f t="shared" si="32"/>
        <v>0.1369863014</v>
      </c>
      <c r="FD129" s="116" t="str">
        <f t="shared" si="33"/>
        <v>No</v>
      </c>
      <c r="FE129" s="125">
        <f t="shared" si="34"/>
        <v>0.7534246575</v>
      </c>
      <c r="FF129" s="116" t="str">
        <f t="shared" ref="FF129:FH129" si="318">BJ129</f>
        <v>No</v>
      </c>
      <c r="FG129" s="116" t="str">
        <f t="shared" si="318"/>
        <v>Yes</v>
      </c>
      <c r="FH129" s="116" t="str">
        <f t="shared" si="318"/>
        <v>No</v>
      </c>
      <c r="FI129" s="112"/>
      <c r="FJ129" s="116" t="str">
        <f t="shared" si="36"/>
        <v>Transactional</v>
      </c>
      <c r="FK129" s="125">
        <f t="shared" si="37"/>
        <v>0.602739726</v>
      </c>
      <c r="FL129" s="116" t="str">
        <f t="shared" si="38"/>
        <v>B2C</v>
      </c>
      <c r="FM129" s="125">
        <f t="shared" si="39"/>
        <v>0.397260274</v>
      </c>
      <c r="FN129" s="116" t="str">
        <f t="shared" si="40"/>
        <v>High</v>
      </c>
      <c r="FO129" s="125">
        <f t="shared" si="41"/>
        <v>0.5616438356</v>
      </c>
      <c r="FP129" s="116" t="str">
        <f t="shared" si="42"/>
        <v>Low</v>
      </c>
      <c r="FQ129" s="125">
        <f t="shared" si="43"/>
        <v>0.3561643836</v>
      </c>
      <c r="FR129" s="112"/>
      <c r="FS129" s="123">
        <f t="shared" si="44"/>
        <v>5</v>
      </c>
      <c r="FT129" s="123">
        <f t="shared" si="45"/>
        <v>1.4</v>
      </c>
      <c r="FU129" s="123">
        <f t="shared" si="46"/>
        <v>5</v>
      </c>
      <c r="FV129" s="123">
        <f t="shared" si="47"/>
        <v>3.7</v>
      </c>
      <c r="FW129" s="119">
        <f t="shared" si="48"/>
        <v>15.1</v>
      </c>
      <c r="FX129" s="115">
        <f>1+((FW129-MIN(performance_ratings_sums))*(4)/(MAX(performance_ratings_sums) - MIN(performance_ratings_sums)))</f>
        <v>4.140186916</v>
      </c>
      <c r="FY129" s="116" t="str">
        <f t="shared" si="49"/>
        <v>Pre-Profit</v>
      </c>
      <c r="FZ129" s="126">
        <f t="shared" si="50"/>
        <v>0.4931506849</v>
      </c>
      <c r="GA129" s="112"/>
      <c r="GB129" s="127">
        <f t="shared" si="51"/>
        <v>3</v>
      </c>
      <c r="GC129" s="116" t="str">
        <f t="shared" si="52"/>
        <v>No</v>
      </c>
      <c r="GD129" s="126">
        <f t="shared" si="53"/>
        <v>0.7671232877</v>
      </c>
      <c r="GE129" s="126" t="str">
        <f t="shared" si="54"/>
        <v>High</v>
      </c>
      <c r="GF129" s="126">
        <f t="shared" si="55"/>
        <v>0.4520547945</v>
      </c>
      <c r="GG129" s="126" t="str">
        <f t="shared" si="56"/>
        <v>High</v>
      </c>
      <c r="GH129" s="126">
        <f t="shared" si="57"/>
        <v>0.8082191781</v>
      </c>
      <c r="GI129" s="112"/>
      <c r="GJ129" s="116"/>
      <c r="GK129" s="119">
        <f t="shared" si="58"/>
        <v>19.554222</v>
      </c>
      <c r="GL129" s="128">
        <f>1+((GK129-MIN(ratings_sums))*(4)/(MAX(ratings_sums) - MIN(ratings_sums)))</f>
        <v>4.792613044</v>
      </c>
    </row>
    <row r="130" ht="15.75" customHeight="1">
      <c r="A130" s="161" t="s">
        <v>681</v>
      </c>
      <c r="B130" s="15">
        <v>1805525.0</v>
      </c>
      <c r="C130" s="162" t="s">
        <v>1096</v>
      </c>
      <c r="D130" s="163"/>
      <c r="E130" s="15" t="s">
        <v>336</v>
      </c>
      <c r="F130" s="164" t="s">
        <v>1097</v>
      </c>
      <c r="G130" s="164" t="s">
        <v>1098</v>
      </c>
      <c r="H130" s="173">
        <v>43908.0</v>
      </c>
      <c r="I130" s="162" t="s">
        <v>1096</v>
      </c>
      <c r="J130" s="162" t="s">
        <v>1099</v>
      </c>
      <c r="K130" s="15" t="s">
        <v>445</v>
      </c>
      <c r="L130" s="15" t="s">
        <v>221</v>
      </c>
      <c r="M130" s="15" t="s">
        <v>31</v>
      </c>
      <c r="N130" s="15" t="s">
        <v>82</v>
      </c>
      <c r="O130" s="15" t="s">
        <v>35</v>
      </c>
      <c r="Q130" s="15" t="s">
        <v>84</v>
      </c>
      <c r="R130" s="166"/>
      <c r="S130" s="120"/>
      <c r="T130" s="69"/>
      <c r="U130" s="69">
        <v>8000000.0</v>
      </c>
      <c r="V130" s="132">
        <v>0.2</v>
      </c>
      <c r="W130" s="96">
        <f t="shared" si="125"/>
        <v>6400000</v>
      </c>
      <c r="X130" s="98">
        <f t="shared" si="126"/>
        <v>6400000</v>
      </c>
      <c r="Y130" s="99" t="str">
        <f t="shared" si="127"/>
        <v>$6M - $8M</v>
      </c>
      <c r="Z130" s="15" t="s">
        <v>86</v>
      </c>
      <c r="AA130" s="15" t="s">
        <v>37</v>
      </c>
      <c r="AB130" s="15" t="s">
        <v>88</v>
      </c>
      <c r="AC130" s="15" t="s">
        <v>493</v>
      </c>
      <c r="AD130" s="15" t="s">
        <v>39</v>
      </c>
      <c r="AE130" s="15" t="s">
        <v>89</v>
      </c>
      <c r="AF130" s="15" t="s">
        <v>493</v>
      </c>
      <c r="AG130" s="69">
        <v>1.2E11</v>
      </c>
      <c r="AH130" s="97" t="str">
        <f t="shared" si="128"/>
        <v>$100B-$250B</v>
      </c>
      <c r="AI130" s="69">
        <v>1.0E10</v>
      </c>
      <c r="AJ130" s="97" t="str">
        <f t="shared" si="129"/>
        <v>$10B-$25B</v>
      </c>
      <c r="AK130" s="167">
        <v>0.22</v>
      </c>
      <c r="AL130" s="88" t="str">
        <f t="shared" si="130"/>
        <v>20%-30%</v>
      </c>
      <c r="AM130" s="15">
        <v>20.0</v>
      </c>
      <c r="AN130" s="15" t="s">
        <v>39</v>
      </c>
      <c r="AO130" s="15" t="s">
        <v>89</v>
      </c>
      <c r="AP130" s="15" t="s">
        <v>90</v>
      </c>
      <c r="AQ130" s="168" t="s">
        <v>39</v>
      </c>
      <c r="AR130" s="168" t="s">
        <v>39</v>
      </c>
      <c r="AS130" s="15" t="s">
        <v>469</v>
      </c>
      <c r="AT130" s="15" t="s">
        <v>469</v>
      </c>
      <c r="AU130" s="15" t="s">
        <v>493</v>
      </c>
      <c r="AV130" s="15" t="s">
        <v>493</v>
      </c>
      <c r="AW130" s="69">
        <v>79000.0</v>
      </c>
      <c r="AX130" s="96" t="str">
        <f t="shared" si="131"/>
        <v>$50K - $100K</v>
      </c>
      <c r="AY130" s="69">
        <v>16427.0</v>
      </c>
      <c r="AZ130" s="69">
        <v>250000.0</v>
      </c>
      <c r="BA130" s="103" t="str">
        <f t="shared" si="132"/>
        <v>$100K - $500K</v>
      </c>
      <c r="BB130" s="103">
        <f t="shared" si="133"/>
        <v>0.065708</v>
      </c>
      <c r="BC130" s="103" t="str">
        <f t="shared" si="134"/>
        <v>&lt; 10%</v>
      </c>
      <c r="BD130" s="15" t="s">
        <v>107</v>
      </c>
      <c r="BF130" s="15" t="s">
        <v>469</v>
      </c>
      <c r="BG130" s="15">
        <v>0.0</v>
      </c>
      <c r="BH130" s="15">
        <v>1.0</v>
      </c>
      <c r="BI130" s="15" t="s">
        <v>469</v>
      </c>
      <c r="BJ130" s="15" t="s">
        <v>469</v>
      </c>
      <c r="BK130" s="15" t="s">
        <v>493</v>
      </c>
      <c r="BL130" s="15" t="s">
        <v>469</v>
      </c>
      <c r="BM130" s="15">
        <v>1.0</v>
      </c>
      <c r="BN130" s="15">
        <v>7.0</v>
      </c>
      <c r="BO130" s="15">
        <v>0.0</v>
      </c>
      <c r="BP130" s="15">
        <v>0.0</v>
      </c>
      <c r="BQ130" s="108"/>
      <c r="BR130" s="15">
        <v>15.0</v>
      </c>
      <c r="BS130" s="15">
        <v>0.0</v>
      </c>
      <c r="BT130" s="15">
        <v>0.0</v>
      </c>
      <c r="BU130" s="15">
        <v>35.0</v>
      </c>
      <c r="BV130" s="15" t="s">
        <v>469</v>
      </c>
      <c r="BW130" s="108"/>
      <c r="CC130" s="108"/>
      <c r="CI130" s="108"/>
      <c r="CO130" s="108"/>
      <c r="CU130" s="108"/>
      <c r="DA130" s="108"/>
      <c r="DG130" s="108"/>
      <c r="DM130" s="108"/>
      <c r="DS130" s="108"/>
      <c r="DT130" s="108"/>
      <c r="DU130" s="108"/>
      <c r="DW130" s="109"/>
      <c r="DX130" s="110">
        <f t="shared" si="13"/>
        <v>15</v>
      </c>
      <c r="DY130" s="111">
        <f t="shared" ref="DY130:DZ130" si="319">sum(BS130,BY130,CE130,CK130,CQ130,CW130,DC130,DI130,DO130)</f>
        <v>0</v>
      </c>
      <c r="DZ130" s="111">
        <f t="shared" si="319"/>
        <v>0</v>
      </c>
      <c r="EA130" s="110">
        <f t="shared" si="15"/>
        <v>35</v>
      </c>
      <c r="EB130" s="99" t="str">
        <f t="shared" si="16"/>
        <v>35 - 54</v>
      </c>
      <c r="EC130" s="112"/>
      <c r="ED130" s="113">
        <f t="shared" si="17"/>
        <v>4.2</v>
      </c>
      <c r="EE130" s="114">
        <f>IF(V130 &lt;&gt; "", 1+((V130-MIN(discount_rates))*(4)/(MAX(discount_rates) - MIN(discount_rates))), "")</f>
        <v>3.105263158</v>
      </c>
      <c r="EF130" s="114" t="str">
        <f>IF(Q130="Debt", (1+((S130-MIN(interest_rates))*(4)/(MAX(interest_rates) - MIN(interest_rates)))), "")</f>
        <v/>
      </c>
      <c r="EG130" s="114" t="str">
        <f>IF(OR(Q130="Revenue Share", Q130="Profit Share"), (1+((R130-MIN(return_mutiples))*(4)/(MAX(return_mutiples) - MIN(return_mutiples)))), "")</f>
        <v/>
      </c>
      <c r="EH130" s="115">
        <f t="shared" si="18"/>
        <v>4.2</v>
      </c>
      <c r="EI130" s="116" t="str">
        <f t="shared" si="19"/>
        <v>Convertible Note</v>
      </c>
      <c r="EJ130" s="117">
        <f t="shared" si="20"/>
        <v>0.1232876712</v>
      </c>
      <c r="EK130" s="116" t="str">
        <f t="shared" si="21"/>
        <v>Early</v>
      </c>
      <c r="EL130" s="112"/>
      <c r="EM130" s="118">
        <f t="shared" si="22"/>
        <v>3.3</v>
      </c>
      <c r="EN130" s="118">
        <f t="shared" si="23"/>
        <v>3</v>
      </c>
      <c r="EO130" s="119">
        <f t="shared" si="24"/>
        <v>6.3</v>
      </c>
      <c r="EP130" s="115">
        <f>1+((EO130-MIN(market_ratings_sums))*(4)/(MAX(market_ratings_sums) - MIN(market_ratings_sums)))</f>
        <v>3.526315789</v>
      </c>
      <c r="EQ130" s="116" t="str">
        <f t="shared" si="25"/>
        <v>No</v>
      </c>
      <c r="ER130" s="112"/>
      <c r="ES130" s="123">
        <f>1+((DX130-MIN(industry_experiences))*(4)/(MAX(industry_experiences) - MIN(industry_experiences)))</f>
        <v>2.428571429</v>
      </c>
      <c r="ET130" s="123">
        <f>1+((DY130-MIN(previous_startups))*(4)/(MAX(previous_startups) - MIN(previous_startups)))</f>
        <v>1</v>
      </c>
      <c r="EU130" s="123">
        <f>1+((DZ130-MIN(exits))*(4)/(MAX(exits) - MIN(exits)))</f>
        <v>1</v>
      </c>
      <c r="EV130" s="119">
        <f t="shared" si="26"/>
        <v>4.428571429</v>
      </c>
      <c r="EW130" s="124">
        <f>1+((EV130-MIN(team_ratings_sums))*(4)/(MAX(team_ratings_sums) - MIN(team_ratings_sums)))</f>
        <v>1.782608696</v>
      </c>
      <c r="EX130" s="116" t="str">
        <f t="shared" si="27"/>
        <v>35 - 54</v>
      </c>
      <c r="EY130" s="125">
        <f t="shared" si="28"/>
        <v>0.6849315068</v>
      </c>
      <c r="EZ130" s="116">
        <f t="shared" si="29"/>
        <v>1</v>
      </c>
      <c r="FA130" s="125">
        <f t="shared" si="30"/>
        <v>0.4383561644</v>
      </c>
      <c r="FB130" s="116">
        <f t="shared" si="31"/>
        <v>7</v>
      </c>
      <c r="FC130" s="125">
        <f t="shared" si="32"/>
        <v>0.04109589041</v>
      </c>
      <c r="FD130" s="116" t="str">
        <f t="shared" si="33"/>
        <v>No</v>
      </c>
      <c r="FE130" s="125">
        <f t="shared" si="34"/>
        <v>0.7534246575</v>
      </c>
      <c r="FF130" s="116" t="str">
        <f t="shared" ref="FF130:FH130" si="320">BJ130</f>
        <v>No</v>
      </c>
      <c r="FG130" s="116" t="str">
        <f t="shared" si="320"/>
        <v>Yes</v>
      </c>
      <c r="FH130" s="116" t="str">
        <f t="shared" si="320"/>
        <v>No</v>
      </c>
      <c r="FI130" s="112"/>
      <c r="FJ130" s="116" t="str">
        <f t="shared" si="36"/>
        <v>Recurring</v>
      </c>
      <c r="FK130" s="125">
        <f t="shared" si="37"/>
        <v>0.397260274</v>
      </c>
      <c r="FL130" s="116" t="str">
        <f t="shared" si="38"/>
        <v>B2B</v>
      </c>
      <c r="FM130" s="125">
        <f t="shared" si="39"/>
        <v>0.2465753425</v>
      </c>
      <c r="FN130" s="116" t="str">
        <f t="shared" si="40"/>
        <v>High</v>
      </c>
      <c r="FO130" s="125">
        <f t="shared" si="41"/>
        <v>0.5616438356</v>
      </c>
      <c r="FP130" s="116" t="str">
        <f t="shared" si="42"/>
        <v>Low</v>
      </c>
      <c r="FQ130" s="125">
        <f t="shared" si="43"/>
        <v>0.3561643836</v>
      </c>
      <c r="FR130" s="112"/>
      <c r="FS130" s="123">
        <f t="shared" si="44"/>
        <v>5</v>
      </c>
      <c r="FT130" s="123">
        <f t="shared" si="45"/>
        <v>1.9</v>
      </c>
      <c r="FU130" s="123">
        <f t="shared" si="46"/>
        <v>5</v>
      </c>
      <c r="FV130" s="123">
        <f t="shared" si="47"/>
        <v>3.7</v>
      </c>
      <c r="FW130" s="119">
        <f t="shared" si="48"/>
        <v>15.6</v>
      </c>
      <c r="FX130" s="115">
        <f>1+((FW130-MIN(performance_ratings_sums))*(4)/(MAX(performance_ratings_sums) - MIN(performance_ratings_sums)))</f>
        <v>4.327102804</v>
      </c>
      <c r="FY130" s="116" t="str">
        <f t="shared" si="49"/>
        <v>Pre-Profit</v>
      </c>
      <c r="FZ130" s="126">
        <f t="shared" si="50"/>
        <v>0.4931506849</v>
      </c>
      <c r="GA130" s="112"/>
      <c r="GB130" s="127">
        <f t="shared" si="51"/>
        <v>3</v>
      </c>
      <c r="GC130" s="116" t="str">
        <f t="shared" si="52"/>
        <v>No</v>
      </c>
      <c r="GD130" s="126">
        <f t="shared" si="53"/>
        <v>0.7671232877</v>
      </c>
      <c r="GE130" s="126" t="str">
        <f t="shared" si="54"/>
        <v>High</v>
      </c>
      <c r="GF130" s="126">
        <f t="shared" si="55"/>
        <v>0.4520547945</v>
      </c>
      <c r="GG130" s="126" t="str">
        <f t="shared" si="56"/>
        <v>High</v>
      </c>
      <c r="GH130" s="126">
        <f t="shared" si="57"/>
        <v>0.8082191781</v>
      </c>
      <c r="GI130" s="112"/>
      <c r="GJ130" s="116"/>
      <c r="GK130" s="119">
        <f t="shared" si="58"/>
        <v>16.83602729</v>
      </c>
      <c r="GL130" s="128">
        <f>1+((GK130-MIN(ratings_sums))*(4)/(MAX(ratings_sums) - MIN(ratings_sums)))</f>
        <v>3.958562266</v>
      </c>
    </row>
    <row r="131" ht="15.75" customHeight="1">
      <c r="A131" s="161" t="s">
        <v>681</v>
      </c>
      <c r="B131" s="15">
        <v>1805743.0</v>
      </c>
      <c r="C131" s="162" t="s">
        <v>1100</v>
      </c>
      <c r="D131" s="163"/>
      <c r="E131" s="15" t="s">
        <v>336</v>
      </c>
      <c r="F131" s="164" t="s">
        <v>1101</v>
      </c>
      <c r="G131" s="164" t="s">
        <v>1102</v>
      </c>
      <c r="H131" s="173">
        <v>43910.0</v>
      </c>
      <c r="I131" s="162" t="s">
        <v>1100</v>
      </c>
      <c r="J131" s="162" t="s">
        <v>1103</v>
      </c>
      <c r="K131" s="15" t="s">
        <v>422</v>
      </c>
      <c r="L131" s="15" t="s">
        <v>390</v>
      </c>
      <c r="M131" s="15" t="s">
        <v>31</v>
      </c>
      <c r="N131" s="15" t="s">
        <v>82</v>
      </c>
      <c r="O131" s="15" t="s">
        <v>35</v>
      </c>
      <c r="Q131" s="15" t="s">
        <v>84</v>
      </c>
      <c r="R131" s="166"/>
      <c r="S131" s="120"/>
      <c r="T131" s="69"/>
      <c r="U131" s="69">
        <v>1000000.0</v>
      </c>
      <c r="V131" s="132">
        <v>0.2</v>
      </c>
      <c r="W131" s="96">
        <f t="shared" si="125"/>
        <v>800000</v>
      </c>
      <c r="X131" s="98">
        <f t="shared" si="126"/>
        <v>800000</v>
      </c>
      <c r="Y131" s="99" t="str">
        <f t="shared" si="127"/>
        <v>&lt; $1M</v>
      </c>
      <c r="Z131" s="15" t="s">
        <v>36</v>
      </c>
      <c r="AA131" s="15" t="s">
        <v>105</v>
      </c>
      <c r="AB131" s="15" t="s">
        <v>38</v>
      </c>
      <c r="AC131" s="15" t="s">
        <v>469</v>
      </c>
      <c r="AD131" s="15" t="s">
        <v>89</v>
      </c>
      <c r="AE131" s="15" t="s">
        <v>89</v>
      </c>
      <c r="AF131" s="15" t="s">
        <v>469</v>
      </c>
      <c r="AG131" s="69">
        <v>2.0E11</v>
      </c>
      <c r="AH131" s="97" t="str">
        <f t="shared" si="128"/>
        <v>$100B-$250B</v>
      </c>
      <c r="AI131" s="69">
        <v>3.0E8</v>
      </c>
      <c r="AJ131" s="97" t="str">
        <f t="shared" si="129"/>
        <v>$250M-$500M</v>
      </c>
      <c r="AK131" s="167">
        <v>0.06</v>
      </c>
      <c r="AL131" s="88" t="str">
        <f t="shared" si="130"/>
        <v>0%-10%</v>
      </c>
      <c r="AM131" s="15">
        <v>100.0</v>
      </c>
      <c r="AN131" s="15" t="s">
        <v>89</v>
      </c>
      <c r="AO131" s="15" t="s">
        <v>89</v>
      </c>
      <c r="AP131" s="15" t="s">
        <v>40</v>
      </c>
      <c r="AQ131" s="168" t="s">
        <v>89</v>
      </c>
      <c r="AR131" s="168" t="s">
        <v>39</v>
      </c>
      <c r="AS131" s="15" t="s">
        <v>469</v>
      </c>
      <c r="AT131" s="15" t="s">
        <v>469</v>
      </c>
      <c r="AU131" s="15" t="s">
        <v>493</v>
      </c>
      <c r="AV131" s="15" t="s">
        <v>493</v>
      </c>
      <c r="AW131" s="69">
        <v>156079.0</v>
      </c>
      <c r="AX131" s="96" t="str">
        <f t="shared" si="131"/>
        <v>$100K - $500K</v>
      </c>
      <c r="AY131" s="69">
        <v>1907.0</v>
      </c>
      <c r="AZ131" s="69">
        <v>0.0</v>
      </c>
      <c r="BA131" s="103" t="str">
        <f t="shared" si="132"/>
        <v>&lt; $10K</v>
      </c>
      <c r="BB131" s="103">
        <f t="shared" si="133"/>
        <v>1</v>
      </c>
      <c r="BC131" s="103" t="str">
        <f t="shared" si="134"/>
        <v>90% - 100%</v>
      </c>
      <c r="BD131" s="15" t="s">
        <v>107</v>
      </c>
      <c r="BF131" s="15" t="s">
        <v>469</v>
      </c>
      <c r="BG131" s="15">
        <v>0.0</v>
      </c>
      <c r="BH131" s="15">
        <v>1.0</v>
      </c>
      <c r="BI131" s="15" t="s">
        <v>469</v>
      </c>
      <c r="BJ131" s="15" t="s">
        <v>469</v>
      </c>
      <c r="BK131" s="15" t="s">
        <v>469</v>
      </c>
      <c r="BL131" s="15" t="s">
        <v>469</v>
      </c>
      <c r="BM131" s="15">
        <v>1.0</v>
      </c>
      <c r="BN131" s="15">
        <v>0.0</v>
      </c>
      <c r="BO131" s="15">
        <v>0.0</v>
      </c>
      <c r="BP131" s="15">
        <v>0.0</v>
      </c>
      <c r="BQ131" s="108"/>
      <c r="BR131" s="15">
        <v>10.0</v>
      </c>
      <c r="BS131" s="15">
        <v>0.0</v>
      </c>
      <c r="BT131" s="15">
        <v>0.0</v>
      </c>
      <c r="BU131" s="15">
        <v>45.0</v>
      </c>
      <c r="BV131" s="15" t="s">
        <v>469</v>
      </c>
      <c r="BW131" s="108"/>
      <c r="CC131" s="108"/>
      <c r="CI131" s="108"/>
      <c r="CO131" s="108"/>
      <c r="CU131" s="108"/>
      <c r="DA131" s="108"/>
      <c r="DG131" s="108"/>
      <c r="DM131" s="108"/>
      <c r="DS131" s="108"/>
      <c r="DT131" s="108"/>
      <c r="DU131" s="108"/>
      <c r="DW131" s="109"/>
      <c r="DX131" s="110">
        <f t="shared" si="13"/>
        <v>10</v>
      </c>
      <c r="DY131" s="111">
        <f t="shared" ref="DY131:DZ131" si="321">sum(BS131,BY131,CE131,CK131,CQ131,CW131,DC131,DI131,DO131)</f>
        <v>0</v>
      </c>
      <c r="DZ131" s="111">
        <f t="shared" si="321"/>
        <v>0</v>
      </c>
      <c r="EA131" s="110">
        <f t="shared" si="15"/>
        <v>45</v>
      </c>
      <c r="EB131" s="99" t="str">
        <f t="shared" si="16"/>
        <v>35 - 54</v>
      </c>
      <c r="EC131" s="112"/>
      <c r="ED131" s="113">
        <f t="shared" si="17"/>
        <v>5</v>
      </c>
      <c r="EE131" s="114">
        <f>IF(V131 &lt;&gt; "", 1+((V131-MIN(discount_rates))*(4)/(MAX(discount_rates) - MIN(discount_rates))), "")</f>
        <v>3.105263158</v>
      </c>
      <c r="EF131" s="114" t="str">
        <f>IF(Q131="Debt", (1+((S131-MIN(interest_rates))*(4)/(MAX(interest_rates) - MIN(interest_rates)))), "")</f>
        <v/>
      </c>
      <c r="EG131" s="114" t="str">
        <f>IF(OR(Q131="Revenue Share", Q131="Profit Share"), (1+((R131-MIN(return_mutiples))*(4)/(MAX(return_mutiples) - MIN(return_mutiples)))), "")</f>
        <v/>
      </c>
      <c r="EH131" s="115">
        <f t="shared" si="18"/>
        <v>5</v>
      </c>
      <c r="EI131" s="116" t="str">
        <f t="shared" si="19"/>
        <v>Convertible Note</v>
      </c>
      <c r="EJ131" s="117">
        <f t="shared" si="20"/>
        <v>0.1232876712</v>
      </c>
      <c r="EK131" s="116" t="str">
        <f t="shared" si="21"/>
        <v>Early</v>
      </c>
      <c r="EL131" s="112"/>
      <c r="EM131" s="118">
        <f t="shared" si="22"/>
        <v>2.1</v>
      </c>
      <c r="EN131" s="118">
        <f t="shared" si="23"/>
        <v>1.7</v>
      </c>
      <c r="EO131" s="119">
        <f t="shared" si="24"/>
        <v>3.8</v>
      </c>
      <c r="EP131" s="115">
        <f>1+((EO131-MIN(market_ratings_sums))*(4)/(MAX(market_ratings_sums) - MIN(market_ratings_sums)))</f>
        <v>1.771929825</v>
      </c>
      <c r="EQ131" s="116" t="str">
        <f t="shared" si="25"/>
        <v>No</v>
      </c>
      <c r="ER131" s="112"/>
      <c r="ES131" s="123">
        <f>1+((DX131-MIN(industry_experiences))*(4)/(MAX(industry_experiences) - MIN(industry_experiences)))</f>
        <v>1.952380952</v>
      </c>
      <c r="ET131" s="123">
        <f>1+((DY131-MIN(previous_startups))*(4)/(MAX(previous_startups) - MIN(previous_startups)))</f>
        <v>1</v>
      </c>
      <c r="EU131" s="123">
        <f>1+((DZ131-MIN(exits))*(4)/(MAX(exits) - MIN(exits)))</f>
        <v>1</v>
      </c>
      <c r="EV131" s="119">
        <f t="shared" si="26"/>
        <v>3.952380952</v>
      </c>
      <c r="EW131" s="124">
        <f>1+((EV131-MIN(team_ratings_sums))*(4)/(MAX(team_ratings_sums) - MIN(team_ratings_sums)))</f>
        <v>1.52173913</v>
      </c>
      <c r="EX131" s="116" t="str">
        <f t="shared" si="27"/>
        <v>35 - 54</v>
      </c>
      <c r="EY131" s="125">
        <f t="shared" si="28"/>
        <v>0.6849315068</v>
      </c>
      <c r="EZ131" s="116">
        <f t="shared" si="29"/>
        <v>1</v>
      </c>
      <c r="FA131" s="125">
        <f t="shared" si="30"/>
        <v>0.4383561644</v>
      </c>
      <c r="FB131" s="116">
        <f t="shared" si="31"/>
        <v>0</v>
      </c>
      <c r="FC131" s="125">
        <f t="shared" si="32"/>
        <v>0</v>
      </c>
      <c r="FD131" s="116" t="str">
        <f t="shared" si="33"/>
        <v>No</v>
      </c>
      <c r="FE131" s="125">
        <f t="shared" si="34"/>
        <v>0.7534246575</v>
      </c>
      <c r="FF131" s="116" t="str">
        <f t="shared" ref="FF131:FH131" si="322">BJ131</f>
        <v>No</v>
      </c>
      <c r="FG131" s="116" t="str">
        <f t="shared" si="322"/>
        <v>No</v>
      </c>
      <c r="FH131" s="116" t="str">
        <f t="shared" si="322"/>
        <v>No</v>
      </c>
      <c r="FI131" s="112"/>
      <c r="FJ131" s="116" t="str">
        <f t="shared" si="36"/>
        <v>Transactional</v>
      </c>
      <c r="FK131" s="125">
        <f t="shared" si="37"/>
        <v>0.602739726</v>
      </c>
      <c r="FL131" s="116" t="str">
        <f t="shared" si="38"/>
        <v>B2B2C</v>
      </c>
      <c r="FM131" s="125">
        <f t="shared" si="39"/>
        <v>0.02739726027</v>
      </c>
      <c r="FN131" s="116" t="str">
        <f t="shared" si="40"/>
        <v>Low</v>
      </c>
      <c r="FO131" s="125">
        <f t="shared" si="41"/>
        <v>0.4383561644</v>
      </c>
      <c r="FP131" s="116" t="str">
        <f t="shared" si="42"/>
        <v>Low</v>
      </c>
      <c r="FQ131" s="125">
        <f t="shared" si="43"/>
        <v>0.3561643836</v>
      </c>
      <c r="FR131" s="112"/>
      <c r="FS131" s="123">
        <f t="shared" si="44"/>
        <v>5</v>
      </c>
      <c r="FT131" s="123">
        <f t="shared" si="45"/>
        <v>2.3</v>
      </c>
      <c r="FU131" s="123">
        <f t="shared" si="46"/>
        <v>1</v>
      </c>
      <c r="FV131" s="123">
        <f t="shared" si="47"/>
        <v>5</v>
      </c>
      <c r="FW131" s="119">
        <f t="shared" si="48"/>
        <v>13.3</v>
      </c>
      <c r="FX131" s="115">
        <f>1+((FW131-MIN(performance_ratings_sums))*(4)/(MAX(performance_ratings_sums) - MIN(performance_ratings_sums)))</f>
        <v>3.46728972</v>
      </c>
      <c r="FY131" s="116" t="str">
        <f t="shared" si="49"/>
        <v>Pre-Profit</v>
      </c>
      <c r="FZ131" s="126">
        <f t="shared" si="50"/>
        <v>0.4931506849</v>
      </c>
      <c r="GA131" s="112"/>
      <c r="GB131" s="127">
        <f t="shared" si="51"/>
        <v>1</v>
      </c>
      <c r="GC131" s="116" t="str">
        <f t="shared" si="52"/>
        <v>No</v>
      </c>
      <c r="GD131" s="126">
        <f t="shared" si="53"/>
        <v>0.7671232877</v>
      </c>
      <c r="GE131" s="126" t="str">
        <f t="shared" si="54"/>
        <v>Low</v>
      </c>
      <c r="GF131" s="126">
        <f t="shared" si="55"/>
        <v>0.5479452055</v>
      </c>
      <c r="GG131" s="126" t="str">
        <f t="shared" si="56"/>
        <v>High</v>
      </c>
      <c r="GH131" s="126">
        <f t="shared" si="57"/>
        <v>0.8082191781</v>
      </c>
      <c r="GI131" s="112"/>
      <c r="GJ131" s="116"/>
      <c r="GK131" s="119">
        <f t="shared" si="58"/>
        <v>12.76095867</v>
      </c>
      <c r="GL131" s="128">
        <f>1+((GK131-MIN(ratings_sums))*(4)/(MAX(ratings_sums) - MIN(ratings_sums)))</f>
        <v>2.708168345</v>
      </c>
    </row>
    <row r="132" ht="15.75" customHeight="1">
      <c r="A132" s="161" t="s">
        <v>681</v>
      </c>
      <c r="B132" s="15">
        <v>1800214.0</v>
      </c>
      <c r="C132" s="162" t="s">
        <v>1104</v>
      </c>
      <c r="D132" s="163">
        <v>43881.59444444445</v>
      </c>
      <c r="E132" s="15" t="s">
        <v>392</v>
      </c>
      <c r="F132" s="164" t="s">
        <v>1105</v>
      </c>
      <c r="G132" s="164" t="s">
        <v>1106</v>
      </c>
      <c r="H132" s="173">
        <v>43879.0</v>
      </c>
      <c r="I132" s="162" t="s">
        <v>1107</v>
      </c>
      <c r="J132" s="162" t="s">
        <v>1104</v>
      </c>
      <c r="K132" s="15" t="s">
        <v>442</v>
      </c>
      <c r="L132" s="15" t="s">
        <v>80</v>
      </c>
      <c r="M132" s="15" t="s">
        <v>31</v>
      </c>
      <c r="N132" s="15" t="s">
        <v>82</v>
      </c>
      <c r="O132" s="15" t="s">
        <v>35</v>
      </c>
      <c r="Q132" s="15" t="s">
        <v>195</v>
      </c>
      <c r="R132" s="166"/>
      <c r="S132" s="120"/>
      <c r="T132" s="69"/>
      <c r="U132" s="69">
        <v>5900000.0</v>
      </c>
      <c r="V132" s="132">
        <v>0.1</v>
      </c>
      <c r="W132" s="96">
        <f t="shared" si="125"/>
        <v>5310000</v>
      </c>
      <c r="X132" s="98">
        <f t="shared" si="126"/>
        <v>5310000</v>
      </c>
      <c r="Y132" s="99" t="str">
        <f t="shared" si="127"/>
        <v>$4M - $6M</v>
      </c>
      <c r="Z132" s="15" t="s">
        <v>36</v>
      </c>
      <c r="AA132" s="15" t="s">
        <v>123</v>
      </c>
      <c r="AB132" s="15" t="s">
        <v>88</v>
      </c>
      <c r="AC132" s="15" t="s">
        <v>469</v>
      </c>
      <c r="AD132" s="15" t="s">
        <v>39</v>
      </c>
      <c r="AE132" s="15" t="s">
        <v>39</v>
      </c>
      <c r="AF132" s="15" t="s">
        <v>469</v>
      </c>
      <c r="AG132" s="69">
        <v>1.0E10</v>
      </c>
      <c r="AH132" s="97" t="str">
        <f t="shared" si="128"/>
        <v>$10B-$25B</v>
      </c>
      <c r="AI132" s="69">
        <v>1.0E9</v>
      </c>
      <c r="AJ132" s="97" t="str">
        <f t="shared" si="129"/>
        <v>$1B-$5B</v>
      </c>
      <c r="AK132" s="167">
        <v>0.09</v>
      </c>
      <c r="AL132" s="88" t="str">
        <f t="shared" si="130"/>
        <v>0%-10%</v>
      </c>
      <c r="AM132" s="15">
        <v>10.0</v>
      </c>
      <c r="AN132" s="15" t="s">
        <v>89</v>
      </c>
      <c r="AO132" s="15" t="s">
        <v>89</v>
      </c>
      <c r="AP132" s="15" t="s">
        <v>40</v>
      </c>
      <c r="AQ132" s="168" t="s">
        <v>39</v>
      </c>
      <c r="AR132" s="168" t="s">
        <v>39</v>
      </c>
      <c r="AS132" s="15" t="s">
        <v>469</v>
      </c>
      <c r="AT132" s="15" t="s">
        <v>493</v>
      </c>
      <c r="AU132" s="15" t="s">
        <v>493</v>
      </c>
      <c r="AV132" s="15" t="s">
        <v>493</v>
      </c>
      <c r="AW132" s="69">
        <v>27916.0</v>
      </c>
      <c r="AX132" s="96" t="str">
        <f t="shared" si="131"/>
        <v>$10K - $50K</v>
      </c>
      <c r="AY132" s="69">
        <v>31896.0</v>
      </c>
      <c r="AZ132" s="69">
        <v>1150000.0</v>
      </c>
      <c r="BA132" s="103" t="str">
        <f t="shared" si="132"/>
        <v>$1M - $2M</v>
      </c>
      <c r="BB132" s="103">
        <f t="shared" si="133"/>
        <v>0.02773565217</v>
      </c>
      <c r="BC132" s="103" t="str">
        <f t="shared" si="134"/>
        <v>&lt; 10%</v>
      </c>
      <c r="BD132" s="15" t="s">
        <v>107</v>
      </c>
      <c r="BF132" s="15" t="s">
        <v>469</v>
      </c>
      <c r="BG132" s="15">
        <v>0.0</v>
      </c>
      <c r="BH132" s="15">
        <v>1.0</v>
      </c>
      <c r="BI132" s="15" t="s">
        <v>469</v>
      </c>
      <c r="BJ132" s="15" t="s">
        <v>469</v>
      </c>
      <c r="BK132" s="15" t="s">
        <v>469</v>
      </c>
      <c r="BL132" s="15" t="s">
        <v>469</v>
      </c>
      <c r="BM132" s="15">
        <v>1.0</v>
      </c>
      <c r="BN132" s="15">
        <v>3.0</v>
      </c>
      <c r="BO132" s="15">
        <v>0.0</v>
      </c>
      <c r="BP132" s="15">
        <v>0.0</v>
      </c>
      <c r="BQ132" s="108"/>
      <c r="BR132" s="15">
        <v>10.0</v>
      </c>
      <c r="BS132" s="15">
        <v>0.0</v>
      </c>
      <c r="BT132" s="15">
        <v>0.0</v>
      </c>
      <c r="BU132" s="15">
        <v>55.0</v>
      </c>
      <c r="BV132" s="15" t="s">
        <v>469</v>
      </c>
      <c r="BW132" s="108"/>
      <c r="CC132" s="108"/>
      <c r="CI132" s="108"/>
      <c r="CO132" s="108"/>
      <c r="CU132" s="108"/>
      <c r="DA132" s="108"/>
      <c r="DG132" s="108"/>
      <c r="DM132" s="108"/>
      <c r="DS132" s="108"/>
      <c r="DT132" s="108"/>
      <c r="DU132" s="108"/>
      <c r="DW132" s="109"/>
      <c r="DX132" s="110">
        <f t="shared" si="13"/>
        <v>10</v>
      </c>
      <c r="DY132" s="111">
        <f t="shared" ref="DY132:DZ132" si="323">sum(BS132,BY132,CE132,CK132,CQ132,CW132,DC132,DI132,DO132)</f>
        <v>0</v>
      </c>
      <c r="DZ132" s="111">
        <f t="shared" si="323"/>
        <v>0</v>
      </c>
      <c r="EA132" s="110">
        <f t="shared" si="15"/>
        <v>55</v>
      </c>
      <c r="EB132" s="99" t="str">
        <f t="shared" si="16"/>
        <v>55+</v>
      </c>
      <c r="EC132" s="112"/>
      <c r="ED132" s="113">
        <f t="shared" si="17"/>
        <v>4.4</v>
      </c>
      <c r="EE132" s="114">
        <f>IF(V132 &lt;&gt; "", 1+((V132-MIN(discount_rates))*(4)/(MAX(discount_rates) - MIN(discount_rates))), "")</f>
        <v>2.052631579</v>
      </c>
      <c r="EF132" s="114" t="str">
        <f>IF(Q132="Debt", (1+((S132-MIN(interest_rates))*(4)/(MAX(interest_rates) - MIN(interest_rates)))), "")</f>
        <v/>
      </c>
      <c r="EG132" s="114" t="str">
        <f>IF(OR(Q132="Revenue Share", Q132="Profit Share"), (1+((R132-MIN(return_mutiples))*(4)/(MAX(return_mutiples) - MIN(return_mutiples)))), "")</f>
        <v/>
      </c>
      <c r="EH132" s="115">
        <f t="shared" si="18"/>
        <v>4.4</v>
      </c>
      <c r="EI132" s="116" t="str">
        <f t="shared" si="19"/>
        <v>SAFE</v>
      </c>
      <c r="EJ132" s="117">
        <f t="shared" si="20"/>
        <v>0.3561643836</v>
      </c>
      <c r="EK132" s="116" t="str">
        <f t="shared" si="21"/>
        <v>Early</v>
      </c>
      <c r="EL132" s="112"/>
      <c r="EM132" s="118">
        <f t="shared" si="22"/>
        <v>2.7</v>
      </c>
      <c r="EN132" s="118">
        <f t="shared" si="23"/>
        <v>1.7</v>
      </c>
      <c r="EO132" s="119">
        <f t="shared" si="24"/>
        <v>4.4</v>
      </c>
      <c r="EP132" s="115">
        <f>1+((EO132-MIN(market_ratings_sums))*(4)/(MAX(market_ratings_sums) - MIN(market_ratings_sums)))</f>
        <v>2.192982456</v>
      </c>
      <c r="EQ132" s="116" t="str">
        <f t="shared" si="25"/>
        <v>No</v>
      </c>
      <c r="ER132" s="112"/>
      <c r="ES132" s="123">
        <f>1+((DX132-MIN(industry_experiences))*(4)/(MAX(industry_experiences) - MIN(industry_experiences)))</f>
        <v>1.952380952</v>
      </c>
      <c r="ET132" s="123">
        <f>1+((DY132-MIN(previous_startups))*(4)/(MAX(previous_startups) - MIN(previous_startups)))</f>
        <v>1</v>
      </c>
      <c r="EU132" s="123">
        <f>1+((DZ132-MIN(exits))*(4)/(MAX(exits) - MIN(exits)))</f>
        <v>1</v>
      </c>
      <c r="EV132" s="119">
        <f t="shared" si="26"/>
        <v>3.952380952</v>
      </c>
      <c r="EW132" s="124">
        <f>1+((EV132-MIN(team_ratings_sums))*(4)/(MAX(team_ratings_sums) - MIN(team_ratings_sums)))</f>
        <v>1.52173913</v>
      </c>
      <c r="EX132" s="116" t="str">
        <f t="shared" si="27"/>
        <v>55+</v>
      </c>
      <c r="EY132" s="125">
        <f t="shared" si="28"/>
        <v>0.1095890411</v>
      </c>
      <c r="EZ132" s="116">
        <f t="shared" si="29"/>
        <v>1</v>
      </c>
      <c r="FA132" s="125">
        <f t="shared" si="30"/>
        <v>0.4383561644</v>
      </c>
      <c r="FB132" s="116">
        <f t="shared" si="31"/>
        <v>3</v>
      </c>
      <c r="FC132" s="125">
        <f t="shared" si="32"/>
        <v>0.08219178082</v>
      </c>
      <c r="FD132" s="116" t="str">
        <f t="shared" si="33"/>
        <v>No</v>
      </c>
      <c r="FE132" s="125">
        <f t="shared" si="34"/>
        <v>0.7534246575</v>
      </c>
      <c r="FF132" s="116" t="str">
        <f t="shared" ref="FF132:FH132" si="324">BJ132</f>
        <v>No</v>
      </c>
      <c r="FG132" s="116" t="str">
        <f t="shared" si="324"/>
        <v>No</v>
      </c>
      <c r="FH132" s="116" t="str">
        <f t="shared" si="324"/>
        <v>No</v>
      </c>
      <c r="FI132" s="112"/>
      <c r="FJ132" s="116" t="str">
        <f t="shared" si="36"/>
        <v>Transactional</v>
      </c>
      <c r="FK132" s="125">
        <f t="shared" si="37"/>
        <v>0.602739726</v>
      </c>
      <c r="FL132" s="116" t="str">
        <f t="shared" si="38"/>
        <v>B2B/B2C</v>
      </c>
      <c r="FM132" s="125">
        <f t="shared" si="39"/>
        <v>0.3287671233</v>
      </c>
      <c r="FN132" s="116" t="str">
        <f t="shared" si="40"/>
        <v>High</v>
      </c>
      <c r="FO132" s="125">
        <f t="shared" si="41"/>
        <v>0.5616438356</v>
      </c>
      <c r="FP132" s="116" t="str">
        <f t="shared" si="42"/>
        <v>High</v>
      </c>
      <c r="FQ132" s="125">
        <f t="shared" si="43"/>
        <v>0.6438356164</v>
      </c>
      <c r="FR132" s="112"/>
      <c r="FS132" s="123">
        <f t="shared" si="44"/>
        <v>5</v>
      </c>
      <c r="FT132" s="123">
        <f t="shared" si="45"/>
        <v>1.4</v>
      </c>
      <c r="FU132" s="123">
        <f t="shared" si="46"/>
        <v>5</v>
      </c>
      <c r="FV132" s="123">
        <f t="shared" si="47"/>
        <v>2.8</v>
      </c>
      <c r="FW132" s="119">
        <f t="shared" si="48"/>
        <v>14.2</v>
      </c>
      <c r="FX132" s="115">
        <f>1+((FW132-MIN(performance_ratings_sums))*(4)/(MAX(performance_ratings_sums) - MIN(performance_ratings_sums)))</f>
        <v>3.803738318</v>
      </c>
      <c r="FY132" s="116" t="str">
        <f t="shared" si="49"/>
        <v>Pre-Profit</v>
      </c>
      <c r="FZ132" s="126">
        <f t="shared" si="50"/>
        <v>0.4931506849</v>
      </c>
      <c r="GA132" s="112"/>
      <c r="GB132" s="127">
        <f t="shared" si="51"/>
        <v>1</v>
      </c>
      <c r="GC132" s="116" t="str">
        <f t="shared" si="52"/>
        <v>Yes</v>
      </c>
      <c r="GD132" s="126">
        <f t="shared" si="53"/>
        <v>0.2328767123</v>
      </c>
      <c r="GE132" s="126" t="str">
        <f t="shared" si="54"/>
        <v>High</v>
      </c>
      <c r="GF132" s="126">
        <f t="shared" si="55"/>
        <v>0.4520547945</v>
      </c>
      <c r="GG132" s="126" t="str">
        <f t="shared" si="56"/>
        <v>High</v>
      </c>
      <c r="GH132" s="126">
        <f t="shared" si="57"/>
        <v>0.8082191781</v>
      </c>
      <c r="GI132" s="112"/>
      <c r="GJ132" s="116"/>
      <c r="GK132" s="119">
        <f t="shared" si="58"/>
        <v>12.9184599</v>
      </c>
      <c r="GL132" s="128">
        <f>1+((GK132-MIN(ratings_sums))*(4)/(MAX(ratings_sums) - MIN(ratings_sums)))</f>
        <v>2.756496017</v>
      </c>
    </row>
    <row r="133" ht="15.75" customHeight="1">
      <c r="A133" s="161" t="s">
        <v>681</v>
      </c>
      <c r="B133" s="15">
        <v>1791400.0</v>
      </c>
      <c r="C133" s="162" t="s">
        <v>1108</v>
      </c>
      <c r="D133" s="163">
        <v>43881.59930555556</v>
      </c>
      <c r="E133" s="15" t="s">
        <v>392</v>
      </c>
      <c r="F133" s="164" t="s">
        <v>1109</v>
      </c>
      <c r="G133" s="164" t="s">
        <v>1110</v>
      </c>
      <c r="H133" s="173">
        <v>43766.0</v>
      </c>
      <c r="I133" s="162" t="s">
        <v>1111</v>
      </c>
      <c r="J133" s="162" t="s">
        <v>1108</v>
      </c>
      <c r="K133" s="15" t="s">
        <v>422</v>
      </c>
      <c r="L133" s="15" t="s">
        <v>390</v>
      </c>
      <c r="M133" s="15" t="s">
        <v>31</v>
      </c>
      <c r="N133" s="15" t="s">
        <v>32</v>
      </c>
      <c r="O133" s="15" t="s">
        <v>35</v>
      </c>
      <c r="Q133" s="15" t="s">
        <v>84</v>
      </c>
      <c r="R133" s="166"/>
      <c r="S133" s="120"/>
      <c r="T133" s="69"/>
      <c r="U133" s="69">
        <v>2500000.0</v>
      </c>
      <c r="V133" s="132">
        <v>0.0</v>
      </c>
      <c r="W133" s="96">
        <f t="shared" si="125"/>
        <v>2500000</v>
      </c>
      <c r="X133" s="98">
        <f t="shared" si="126"/>
        <v>2500000</v>
      </c>
      <c r="Y133" s="99" t="str">
        <f t="shared" si="127"/>
        <v>$2M - $4M</v>
      </c>
      <c r="Z133" s="15" t="s">
        <v>36</v>
      </c>
      <c r="AA133" s="15" t="s">
        <v>87</v>
      </c>
      <c r="AB133" s="15" t="s">
        <v>38</v>
      </c>
      <c r="AC133" s="15" t="s">
        <v>469</v>
      </c>
      <c r="AD133" s="15" t="s">
        <v>89</v>
      </c>
      <c r="AE133" s="15" t="s">
        <v>89</v>
      </c>
      <c r="AF133" s="15" t="s">
        <v>469</v>
      </c>
      <c r="AG133" s="69">
        <v>1.41E9</v>
      </c>
      <c r="AH133" s="97" t="str">
        <f t="shared" si="128"/>
        <v>$1B-$5B</v>
      </c>
      <c r="AI133" s="69">
        <v>1.0E7</v>
      </c>
      <c r="AJ133" s="97" t="str">
        <f t="shared" si="129"/>
        <v>&lt; $25M</v>
      </c>
      <c r="AK133" s="167">
        <v>0.08</v>
      </c>
      <c r="AL133" s="88" t="str">
        <f t="shared" si="130"/>
        <v>0%-10%</v>
      </c>
      <c r="AM133" s="15">
        <v>5.0</v>
      </c>
      <c r="AN133" s="15" t="s">
        <v>39</v>
      </c>
      <c r="AO133" s="15" t="s">
        <v>89</v>
      </c>
      <c r="AP133" s="15" t="s">
        <v>90</v>
      </c>
      <c r="AQ133" s="168" t="s">
        <v>89</v>
      </c>
      <c r="AR133" s="168" t="s">
        <v>39</v>
      </c>
      <c r="AS133" s="15" t="s">
        <v>493</v>
      </c>
      <c r="AT133" s="15" t="s">
        <v>469</v>
      </c>
      <c r="AU133" s="15" t="s">
        <v>469</v>
      </c>
      <c r="AV133" s="15" t="s">
        <v>469</v>
      </c>
      <c r="AW133" s="69">
        <v>0.0</v>
      </c>
      <c r="AX133" s="96" t="str">
        <f t="shared" si="131"/>
        <v>&lt; $10K</v>
      </c>
      <c r="AY133" s="69">
        <v>1237.0</v>
      </c>
      <c r="AZ133" s="69">
        <v>20000.0</v>
      </c>
      <c r="BA133" s="103" t="str">
        <f t="shared" si="132"/>
        <v>$10K - $50K</v>
      </c>
      <c r="BB133" s="103">
        <f t="shared" si="133"/>
        <v>0.06185</v>
      </c>
      <c r="BC133" s="103" t="str">
        <f t="shared" si="134"/>
        <v>&lt; 10%</v>
      </c>
      <c r="BD133" s="15" t="s">
        <v>107</v>
      </c>
      <c r="BF133" s="15" t="s">
        <v>469</v>
      </c>
      <c r="BG133" s="15">
        <v>0.0</v>
      </c>
      <c r="BH133" s="15">
        <v>2.0</v>
      </c>
      <c r="BI133" s="15" t="s">
        <v>493</v>
      </c>
      <c r="BJ133" s="15" t="s">
        <v>493</v>
      </c>
      <c r="BK133" s="15" t="s">
        <v>469</v>
      </c>
      <c r="BL133" s="15" t="s">
        <v>469</v>
      </c>
      <c r="BM133" s="15">
        <v>2.0</v>
      </c>
      <c r="BN133" s="15">
        <v>2.0</v>
      </c>
      <c r="BO133" s="15">
        <v>0.0</v>
      </c>
      <c r="BP133" s="15">
        <v>0.0</v>
      </c>
      <c r="BQ133" s="108"/>
      <c r="BR133" s="15">
        <v>5.0</v>
      </c>
      <c r="BS133" s="15">
        <v>0.0</v>
      </c>
      <c r="BT133" s="15">
        <v>0.0</v>
      </c>
      <c r="BU133" s="15">
        <v>37.0</v>
      </c>
      <c r="BV133" s="15" t="s">
        <v>469</v>
      </c>
      <c r="BW133" s="108"/>
      <c r="BX133" s="15">
        <v>5.0</v>
      </c>
      <c r="BY133" s="15">
        <v>0.0</v>
      </c>
      <c r="BZ133" s="15">
        <v>0.0</v>
      </c>
      <c r="CA133" s="15">
        <v>37.0</v>
      </c>
      <c r="CB133" s="15" t="s">
        <v>469</v>
      </c>
      <c r="CC133" s="108"/>
      <c r="CI133" s="108"/>
      <c r="CO133" s="108"/>
      <c r="CU133" s="108"/>
      <c r="DA133" s="108"/>
      <c r="DG133" s="108"/>
      <c r="DM133" s="108"/>
      <c r="DS133" s="108"/>
      <c r="DT133" s="108"/>
      <c r="DU133" s="108"/>
      <c r="DW133" s="109"/>
      <c r="DX133" s="110">
        <f t="shared" si="13"/>
        <v>5</v>
      </c>
      <c r="DY133" s="111">
        <f t="shared" ref="DY133:DZ133" si="325">sum(BS133,BY133,CE133,CK133,CQ133,CW133,DC133,DI133,DO133)</f>
        <v>0</v>
      </c>
      <c r="DZ133" s="111">
        <f t="shared" si="325"/>
        <v>0</v>
      </c>
      <c r="EA133" s="110">
        <f t="shared" si="15"/>
        <v>37</v>
      </c>
      <c r="EB133" s="99" t="str">
        <f t="shared" si="16"/>
        <v>35 - 54</v>
      </c>
      <c r="EC133" s="112"/>
      <c r="ED133" s="113">
        <f t="shared" si="17"/>
        <v>4.6</v>
      </c>
      <c r="EE133" s="114">
        <f>IF(V133 &lt;&gt; "", 1+((V133-MIN(discount_rates))*(4)/(MAX(discount_rates) - MIN(discount_rates))), "")</f>
        <v>1</v>
      </c>
      <c r="EF133" s="114" t="str">
        <f>IF(Q133="Debt", (1+((S133-MIN(interest_rates))*(4)/(MAX(interest_rates) - MIN(interest_rates)))), "")</f>
        <v/>
      </c>
      <c r="EG133" s="114" t="str">
        <f>IF(OR(Q133="Revenue Share", Q133="Profit Share"), (1+((R133-MIN(return_mutiples))*(4)/(MAX(return_mutiples) - MIN(return_mutiples)))), "")</f>
        <v/>
      </c>
      <c r="EH133" s="115">
        <f t="shared" si="18"/>
        <v>4.6</v>
      </c>
      <c r="EI133" s="116" t="str">
        <f t="shared" si="19"/>
        <v>Convertible Note</v>
      </c>
      <c r="EJ133" s="117">
        <f t="shared" si="20"/>
        <v>0.1232876712</v>
      </c>
      <c r="EK133" s="116" t="str">
        <f t="shared" si="21"/>
        <v>Early</v>
      </c>
      <c r="EL133" s="112"/>
      <c r="EM133" s="118">
        <f t="shared" si="22"/>
        <v>1</v>
      </c>
      <c r="EN133" s="118">
        <f t="shared" si="23"/>
        <v>1.7</v>
      </c>
      <c r="EO133" s="119">
        <f t="shared" si="24"/>
        <v>2.7</v>
      </c>
      <c r="EP133" s="115">
        <f>1+((EO133-MIN(market_ratings_sums))*(4)/(MAX(market_ratings_sums) - MIN(market_ratings_sums)))</f>
        <v>1</v>
      </c>
      <c r="EQ133" s="116" t="str">
        <f t="shared" si="25"/>
        <v>Yes</v>
      </c>
      <c r="ER133" s="112"/>
      <c r="ES133" s="123">
        <f>1+((DX133-MIN(industry_experiences))*(4)/(MAX(industry_experiences) - MIN(industry_experiences)))</f>
        <v>1.476190476</v>
      </c>
      <c r="ET133" s="123">
        <f>1+((DY133-MIN(previous_startups))*(4)/(MAX(previous_startups) - MIN(previous_startups)))</f>
        <v>1</v>
      </c>
      <c r="EU133" s="123">
        <f>1+((DZ133-MIN(exits))*(4)/(MAX(exits) - MIN(exits)))</f>
        <v>1</v>
      </c>
      <c r="EV133" s="119">
        <f t="shared" si="26"/>
        <v>3.476190476</v>
      </c>
      <c r="EW133" s="124">
        <f>1+((EV133-MIN(team_ratings_sums))*(4)/(MAX(team_ratings_sums) - MIN(team_ratings_sums)))</f>
        <v>1.260869565</v>
      </c>
      <c r="EX133" s="116" t="str">
        <f t="shared" si="27"/>
        <v>35 - 54</v>
      </c>
      <c r="EY133" s="125">
        <f t="shared" si="28"/>
        <v>0.6849315068</v>
      </c>
      <c r="EZ133" s="116">
        <f t="shared" si="29"/>
        <v>2</v>
      </c>
      <c r="FA133" s="125">
        <f t="shared" si="30"/>
        <v>0.4520547945</v>
      </c>
      <c r="FB133" s="116">
        <f t="shared" si="31"/>
        <v>2</v>
      </c>
      <c r="FC133" s="125">
        <f t="shared" si="32"/>
        <v>0.1369863014</v>
      </c>
      <c r="FD133" s="116" t="str">
        <f t="shared" si="33"/>
        <v>Yes</v>
      </c>
      <c r="FE133" s="125">
        <f t="shared" si="34"/>
        <v>0.2465753425</v>
      </c>
      <c r="FF133" s="116" t="str">
        <f t="shared" ref="FF133:FH133" si="326">BJ133</f>
        <v>Yes</v>
      </c>
      <c r="FG133" s="116" t="str">
        <f t="shared" si="326"/>
        <v>No</v>
      </c>
      <c r="FH133" s="116" t="str">
        <f t="shared" si="326"/>
        <v>No</v>
      </c>
      <c r="FI133" s="112"/>
      <c r="FJ133" s="116" t="str">
        <f t="shared" si="36"/>
        <v>Transactional</v>
      </c>
      <c r="FK133" s="125">
        <f t="shared" si="37"/>
        <v>0.602739726</v>
      </c>
      <c r="FL133" s="116" t="str">
        <f t="shared" si="38"/>
        <v>B2C</v>
      </c>
      <c r="FM133" s="125">
        <f t="shared" si="39"/>
        <v>0.397260274</v>
      </c>
      <c r="FN133" s="116" t="str">
        <f t="shared" si="40"/>
        <v>Low</v>
      </c>
      <c r="FO133" s="125">
        <f t="shared" si="41"/>
        <v>0.4383561644</v>
      </c>
      <c r="FP133" s="116" t="str">
        <f t="shared" si="42"/>
        <v>Low</v>
      </c>
      <c r="FQ133" s="125">
        <f t="shared" si="43"/>
        <v>0.3561643836</v>
      </c>
      <c r="FR133" s="112"/>
      <c r="FS133" s="123">
        <f t="shared" si="44"/>
        <v>1</v>
      </c>
      <c r="FT133" s="123">
        <f t="shared" si="45"/>
        <v>1</v>
      </c>
      <c r="FU133" s="123">
        <f t="shared" si="46"/>
        <v>5</v>
      </c>
      <c r="FV133" s="123">
        <f t="shared" si="47"/>
        <v>4.6</v>
      </c>
      <c r="FW133" s="119">
        <f t="shared" si="48"/>
        <v>11.6</v>
      </c>
      <c r="FX133" s="115">
        <f>1+((FW133-MIN(performance_ratings_sums))*(4)/(MAX(performance_ratings_sums) - MIN(performance_ratings_sums)))</f>
        <v>2.831775701</v>
      </c>
      <c r="FY133" s="116" t="str">
        <f t="shared" si="49"/>
        <v>Pre-Profit</v>
      </c>
      <c r="FZ133" s="126">
        <f t="shared" si="50"/>
        <v>0.4931506849</v>
      </c>
      <c r="GA133" s="112"/>
      <c r="GB133" s="127">
        <f t="shared" si="51"/>
        <v>3</v>
      </c>
      <c r="GC133" s="116" t="str">
        <f t="shared" si="52"/>
        <v>No</v>
      </c>
      <c r="GD133" s="126">
        <f t="shared" si="53"/>
        <v>0.7671232877</v>
      </c>
      <c r="GE133" s="126" t="str">
        <f t="shared" si="54"/>
        <v>Low</v>
      </c>
      <c r="GF133" s="126">
        <f t="shared" si="55"/>
        <v>0.5479452055</v>
      </c>
      <c r="GG133" s="126" t="str">
        <f t="shared" si="56"/>
        <v>High</v>
      </c>
      <c r="GH133" s="126">
        <f t="shared" si="57"/>
        <v>0.8082191781</v>
      </c>
      <c r="GI133" s="112"/>
      <c r="GJ133" s="116"/>
      <c r="GK133" s="119">
        <f t="shared" si="58"/>
        <v>12.69264527</v>
      </c>
      <c r="GL133" s="128">
        <f>1+((GK133-MIN(ratings_sums))*(4)/(MAX(ratings_sums) - MIN(ratings_sums)))</f>
        <v>2.687207061</v>
      </c>
    </row>
    <row r="134" ht="15.75" customHeight="1">
      <c r="A134" s="161" t="s">
        <v>681</v>
      </c>
      <c r="B134" s="15">
        <v>1803418.0</v>
      </c>
      <c r="C134" s="162" t="s">
        <v>1112</v>
      </c>
      <c r="D134" s="163">
        <v>43881.60138888889</v>
      </c>
      <c r="E134" s="15" t="s">
        <v>392</v>
      </c>
      <c r="F134" s="164" t="s">
        <v>1113</v>
      </c>
      <c r="G134" s="164" t="s">
        <v>1114</v>
      </c>
      <c r="H134" s="173">
        <v>43873.0</v>
      </c>
      <c r="I134" s="162" t="s">
        <v>1115</v>
      </c>
      <c r="J134" s="162" t="s">
        <v>1112</v>
      </c>
      <c r="K134" s="15" t="s">
        <v>415</v>
      </c>
      <c r="L134" s="15" t="s">
        <v>167</v>
      </c>
      <c r="M134" s="15" t="s">
        <v>31</v>
      </c>
      <c r="N134" s="15" t="s">
        <v>32</v>
      </c>
      <c r="O134" s="15" t="s">
        <v>35</v>
      </c>
      <c r="Q134" s="15" t="s">
        <v>195</v>
      </c>
      <c r="R134" s="166"/>
      <c r="S134" s="120"/>
      <c r="T134" s="69"/>
      <c r="U134" s="69">
        <v>4000000.0</v>
      </c>
      <c r="V134" s="132">
        <v>0.3</v>
      </c>
      <c r="W134" s="96">
        <f t="shared" si="125"/>
        <v>2800000</v>
      </c>
      <c r="X134" s="98">
        <f t="shared" si="126"/>
        <v>2800000</v>
      </c>
      <c r="Y134" s="99" t="str">
        <f t="shared" si="127"/>
        <v>$2M - $4M</v>
      </c>
      <c r="Z134" s="15" t="s">
        <v>86</v>
      </c>
      <c r="AA134" s="15" t="s">
        <v>37</v>
      </c>
      <c r="AB134" s="15" t="s">
        <v>88</v>
      </c>
      <c r="AC134" s="15" t="s">
        <v>493</v>
      </c>
      <c r="AD134" s="15" t="s">
        <v>39</v>
      </c>
      <c r="AE134" s="15" t="s">
        <v>89</v>
      </c>
      <c r="AF134" s="15" t="s">
        <v>469</v>
      </c>
      <c r="AG134" s="69">
        <v>9.07E10</v>
      </c>
      <c r="AH134" s="97" t="str">
        <f t="shared" si="128"/>
        <v>$50B-$100B</v>
      </c>
      <c r="AI134" s="69">
        <v>1.0E8</v>
      </c>
      <c r="AJ134" s="97" t="str">
        <f t="shared" si="129"/>
        <v>$100M-$250M</v>
      </c>
      <c r="AK134" s="167">
        <v>0.07</v>
      </c>
      <c r="AL134" s="88" t="str">
        <f t="shared" si="130"/>
        <v>0%-10%</v>
      </c>
      <c r="AM134" s="15">
        <v>10.0</v>
      </c>
      <c r="AN134" s="15" t="s">
        <v>39</v>
      </c>
      <c r="AO134" s="15" t="s">
        <v>89</v>
      </c>
      <c r="AP134" s="15" t="s">
        <v>40</v>
      </c>
      <c r="AQ134" s="168" t="s">
        <v>39</v>
      </c>
      <c r="AR134" s="168" t="s">
        <v>39</v>
      </c>
      <c r="AS134" s="15" t="s">
        <v>469</v>
      </c>
      <c r="AT134" s="15" t="s">
        <v>469</v>
      </c>
      <c r="AU134" s="15" t="s">
        <v>469</v>
      </c>
      <c r="AV134" s="15" t="s">
        <v>469</v>
      </c>
      <c r="AW134" s="69">
        <v>0.0</v>
      </c>
      <c r="AX134" s="96" t="str">
        <f t="shared" si="131"/>
        <v>&lt; $10K</v>
      </c>
      <c r="AY134" s="69">
        <v>45450.0</v>
      </c>
      <c r="AZ134" s="69">
        <v>465000.0</v>
      </c>
      <c r="BA134" s="103" t="str">
        <f t="shared" si="132"/>
        <v>$100K - $500K</v>
      </c>
      <c r="BB134" s="103">
        <f t="shared" si="133"/>
        <v>0.09774193548</v>
      </c>
      <c r="BC134" s="103" t="str">
        <f t="shared" si="134"/>
        <v>&lt; 10%</v>
      </c>
      <c r="BD134" s="15" t="s">
        <v>107</v>
      </c>
      <c r="BF134" s="15" t="s">
        <v>469</v>
      </c>
      <c r="BG134" s="15">
        <v>0.0</v>
      </c>
      <c r="BH134" s="15">
        <v>2.0</v>
      </c>
      <c r="BI134" s="15" t="s">
        <v>469</v>
      </c>
      <c r="BJ134" s="15" t="s">
        <v>469</v>
      </c>
      <c r="BK134" s="15" t="s">
        <v>469</v>
      </c>
      <c r="BL134" s="15" t="s">
        <v>469</v>
      </c>
      <c r="BM134" s="15">
        <v>3.0</v>
      </c>
      <c r="BN134" s="15">
        <v>3.0</v>
      </c>
      <c r="BO134" s="15">
        <v>0.0</v>
      </c>
      <c r="BP134" s="15">
        <v>0.0</v>
      </c>
      <c r="BQ134" s="108"/>
      <c r="BR134" s="15">
        <v>10.0</v>
      </c>
      <c r="BS134" s="15">
        <v>0.0</v>
      </c>
      <c r="BT134" s="15">
        <v>0.0</v>
      </c>
      <c r="BU134" s="15">
        <v>36.0</v>
      </c>
      <c r="BV134" s="15" t="s">
        <v>469</v>
      </c>
      <c r="BW134" s="108"/>
      <c r="BX134" s="15">
        <v>10.0</v>
      </c>
      <c r="BY134" s="15">
        <v>1.0</v>
      </c>
      <c r="BZ134" s="15">
        <v>0.0</v>
      </c>
      <c r="CA134" s="15">
        <v>38.0</v>
      </c>
      <c r="CB134" s="15" t="s">
        <v>469</v>
      </c>
      <c r="CC134" s="108"/>
      <c r="CI134" s="108"/>
      <c r="CO134" s="108"/>
      <c r="CU134" s="108"/>
      <c r="DA134" s="108"/>
      <c r="DG134" s="108"/>
      <c r="DM134" s="108"/>
      <c r="DS134" s="108"/>
      <c r="DT134" s="108"/>
      <c r="DU134" s="108"/>
      <c r="DW134" s="109"/>
      <c r="DX134" s="110">
        <f t="shared" si="13"/>
        <v>10</v>
      </c>
      <c r="DY134" s="111">
        <f t="shared" ref="DY134:DZ134" si="327">sum(BS134,BY134,CE134,CK134,CQ134,CW134,DC134,DI134,DO134)</f>
        <v>1</v>
      </c>
      <c r="DZ134" s="111">
        <f t="shared" si="327"/>
        <v>0</v>
      </c>
      <c r="EA134" s="110">
        <f t="shared" si="15"/>
        <v>37</v>
      </c>
      <c r="EB134" s="99" t="str">
        <f t="shared" si="16"/>
        <v>35 - 54</v>
      </c>
      <c r="EC134" s="112"/>
      <c r="ED134" s="113">
        <f t="shared" si="17"/>
        <v>4.6</v>
      </c>
      <c r="EE134" s="114">
        <f>IF(V134 &lt;&gt; "", 1+((V134-MIN(discount_rates))*(4)/(MAX(discount_rates) - MIN(discount_rates))), "")</f>
        <v>4.157894737</v>
      </c>
      <c r="EF134" s="114" t="str">
        <f>IF(Q134="Debt", (1+((S134-MIN(interest_rates))*(4)/(MAX(interest_rates) - MIN(interest_rates)))), "")</f>
        <v/>
      </c>
      <c r="EG134" s="114" t="str">
        <f>IF(OR(Q134="Revenue Share", Q134="Profit Share"), (1+((R134-MIN(return_mutiples))*(4)/(MAX(return_mutiples) - MIN(return_mutiples)))), "")</f>
        <v/>
      </c>
      <c r="EH134" s="115">
        <f t="shared" si="18"/>
        <v>4.6</v>
      </c>
      <c r="EI134" s="116" t="str">
        <f t="shared" si="19"/>
        <v>SAFE</v>
      </c>
      <c r="EJ134" s="117">
        <f t="shared" si="20"/>
        <v>0.3561643836</v>
      </c>
      <c r="EK134" s="116" t="str">
        <f t="shared" si="21"/>
        <v>Early</v>
      </c>
      <c r="EL134" s="112"/>
      <c r="EM134" s="118">
        <f t="shared" si="22"/>
        <v>1.9</v>
      </c>
      <c r="EN134" s="118">
        <f t="shared" si="23"/>
        <v>1.7</v>
      </c>
      <c r="EO134" s="119">
        <f t="shared" si="24"/>
        <v>3.6</v>
      </c>
      <c r="EP134" s="115">
        <f>1+((EO134-MIN(market_ratings_sums))*(4)/(MAX(market_ratings_sums) - MIN(market_ratings_sums)))</f>
        <v>1.631578947</v>
      </c>
      <c r="EQ134" s="116" t="str">
        <f t="shared" si="25"/>
        <v>No</v>
      </c>
      <c r="ER134" s="112"/>
      <c r="ES134" s="123">
        <f>1+((DX134-MIN(industry_experiences))*(4)/(MAX(industry_experiences) - MIN(industry_experiences)))</f>
        <v>1.952380952</v>
      </c>
      <c r="ET134" s="123">
        <f>1+((DY134-MIN(previous_startups))*(4)/(MAX(previous_startups) - MIN(previous_startups)))</f>
        <v>1.444444444</v>
      </c>
      <c r="EU134" s="123">
        <f>1+((DZ134-MIN(exits))*(4)/(MAX(exits) - MIN(exits)))</f>
        <v>1</v>
      </c>
      <c r="EV134" s="119">
        <f t="shared" si="26"/>
        <v>4.396825397</v>
      </c>
      <c r="EW134" s="124">
        <f>1+((EV134-MIN(team_ratings_sums))*(4)/(MAX(team_ratings_sums) - MIN(team_ratings_sums)))</f>
        <v>1.765217391</v>
      </c>
      <c r="EX134" s="116" t="str">
        <f t="shared" si="27"/>
        <v>35 - 54</v>
      </c>
      <c r="EY134" s="125">
        <f t="shared" si="28"/>
        <v>0.6849315068</v>
      </c>
      <c r="EZ134" s="116">
        <f t="shared" si="29"/>
        <v>2</v>
      </c>
      <c r="FA134" s="125">
        <f t="shared" si="30"/>
        <v>0.4520547945</v>
      </c>
      <c r="FB134" s="116">
        <f t="shared" si="31"/>
        <v>3</v>
      </c>
      <c r="FC134" s="125">
        <f t="shared" si="32"/>
        <v>0.08219178082</v>
      </c>
      <c r="FD134" s="116" t="str">
        <f t="shared" si="33"/>
        <v>No</v>
      </c>
      <c r="FE134" s="125">
        <f t="shared" si="34"/>
        <v>0.7534246575</v>
      </c>
      <c r="FF134" s="116" t="str">
        <f t="shared" ref="FF134:FH134" si="328">BJ134</f>
        <v>No</v>
      </c>
      <c r="FG134" s="116" t="str">
        <f t="shared" si="328"/>
        <v>No</v>
      </c>
      <c r="FH134" s="116" t="str">
        <f t="shared" si="328"/>
        <v>No</v>
      </c>
      <c r="FI134" s="112"/>
      <c r="FJ134" s="116" t="str">
        <f t="shared" si="36"/>
        <v>Recurring</v>
      </c>
      <c r="FK134" s="125">
        <f t="shared" si="37"/>
        <v>0.397260274</v>
      </c>
      <c r="FL134" s="116" t="str">
        <f t="shared" si="38"/>
        <v>B2B</v>
      </c>
      <c r="FM134" s="125">
        <f t="shared" si="39"/>
        <v>0.2465753425</v>
      </c>
      <c r="FN134" s="116" t="str">
        <f t="shared" si="40"/>
        <v>High</v>
      </c>
      <c r="FO134" s="125">
        <f t="shared" si="41"/>
        <v>0.5616438356</v>
      </c>
      <c r="FP134" s="116" t="str">
        <f t="shared" si="42"/>
        <v>Low</v>
      </c>
      <c r="FQ134" s="125">
        <f t="shared" si="43"/>
        <v>0.3561643836</v>
      </c>
      <c r="FR134" s="112"/>
      <c r="FS134" s="123">
        <f t="shared" si="44"/>
        <v>1</v>
      </c>
      <c r="FT134" s="123">
        <f t="shared" si="45"/>
        <v>1</v>
      </c>
      <c r="FU134" s="123">
        <f t="shared" si="46"/>
        <v>5</v>
      </c>
      <c r="FV134" s="123">
        <f t="shared" si="47"/>
        <v>3.7</v>
      </c>
      <c r="FW134" s="119">
        <f t="shared" si="48"/>
        <v>10.7</v>
      </c>
      <c r="FX134" s="115">
        <f>1+((FW134-MIN(performance_ratings_sums))*(4)/(MAX(performance_ratings_sums) - MIN(performance_ratings_sums)))</f>
        <v>2.495327103</v>
      </c>
      <c r="FY134" s="116" t="str">
        <f t="shared" si="49"/>
        <v>Pre-Profit</v>
      </c>
      <c r="FZ134" s="126">
        <f t="shared" si="50"/>
        <v>0.4931506849</v>
      </c>
      <c r="GA134" s="112"/>
      <c r="GB134" s="127">
        <f t="shared" si="51"/>
        <v>3</v>
      </c>
      <c r="GC134" s="116" t="str">
        <f t="shared" si="52"/>
        <v>No</v>
      </c>
      <c r="GD134" s="126">
        <f t="shared" si="53"/>
        <v>0.7671232877</v>
      </c>
      <c r="GE134" s="126" t="str">
        <f t="shared" si="54"/>
        <v>High</v>
      </c>
      <c r="GF134" s="126">
        <f t="shared" si="55"/>
        <v>0.4520547945</v>
      </c>
      <c r="GG134" s="126" t="str">
        <f t="shared" si="56"/>
        <v>High</v>
      </c>
      <c r="GH134" s="126">
        <f t="shared" si="57"/>
        <v>0.8082191781</v>
      </c>
      <c r="GI134" s="112"/>
      <c r="GJ134" s="116"/>
      <c r="GK134" s="119">
        <f t="shared" si="58"/>
        <v>13.49212344</v>
      </c>
      <c r="GL134" s="128">
        <f>1+((GK134-MIN(ratings_sums))*(4)/(MAX(ratings_sums) - MIN(ratings_sums)))</f>
        <v>2.932518918</v>
      </c>
    </row>
    <row r="135" ht="15.75" customHeight="1">
      <c r="A135" s="161" t="s">
        <v>681</v>
      </c>
      <c r="B135" s="15">
        <v>1802405.0</v>
      </c>
      <c r="C135" s="162" t="s">
        <v>1116</v>
      </c>
      <c r="D135" s="163">
        <v>43881.604166666664</v>
      </c>
      <c r="E135" s="15" t="s">
        <v>392</v>
      </c>
      <c r="F135" s="164" t="s">
        <v>1117</v>
      </c>
      <c r="G135" s="164" t="s">
        <v>1118</v>
      </c>
      <c r="H135" s="173">
        <v>43865.0</v>
      </c>
      <c r="I135" s="162" t="s">
        <v>1119</v>
      </c>
      <c r="J135" s="162" t="s">
        <v>1116</v>
      </c>
      <c r="K135" s="15" t="s">
        <v>503</v>
      </c>
      <c r="L135" s="15" t="s">
        <v>30</v>
      </c>
      <c r="M135" s="15" t="s">
        <v>31</v>
      </c>
      <c r="N135" s="15" t="s">
        <v>32</v>
      </c>
      <c r="O135" s="15" t="s">
        <v>35</v>
      </c>
      <c r="Q135" s="15" t="s">
        <v>195</v>
      </c>
      <c r="R135" s="166"/>
      <c r="S135" s="120"/>
      <c r="T135" s="69"/>
      <c r="U135" s="69">
        <v>6000000.0</v>
      </c>
      <c r="V135" s="132">
        <v>0.1</v>
      </c>
      <c r="W135" s="96">
        <f t="shared" si="125"/>
        <v>5400000</v>
      </c>
      <c r="X135" s="98">
        <f t="shared" si="126"/>
        <v>5400000</v>
      </c>
      <c r="Y135" s="99" t="str">
        <f t="shared" si="127"/>
        <v>$4M - $6M</v>
      </c>
      <c r="Z135" s="15" t="s">
        <v>36</v>
      </c>
      <c r="AA135" s="15" t="s">
        <v>37</v>
      </c>
      <c r="AB135" s="15" t="s">
        <v>88</v>
      </c>
      <c r="AC135" s="15" t="s">
        <v>493</v>
      </c>
      <c r="AD135" s="15" t="s">
        <v>89</v>
      </c>
      <c r="AE135" s="15" t="s">
        <v>89</v>
      </c>
      <c r="AF135" s="15" t="s">
        <v>493</v>
      </c>
      <c r="AG135" s="69">
        <v>3.33E11</v>
      </c>
      <c r="AH135" s="97" t="str">
        <f t="shared" si="128"/>
        <v>$250B-$500B</v>
      </c>
      <c r="AI135" s="69">
        <v>1.1E9</v>
      </c>
      <c r="AJ135" s="97" t="str">
        <f t="shared" si="129"/>
        <v>$1B-$5B</v>
      </c>
      <c r="AK135" s="167">
        <v>0.19</v>
      </c>
      <c r="AL135" s="88" t="str">
        <f t="shared" si="130"/>
        <v>10%-20%</v>
      </c>
      <c r="AM135" s="32">
        <v>3.0</v>
      </c>
      <c r="AN135" s="15" t="s">
        <v>39</v>
      </c>
      <c r="AO135" s="15" t="s">
        <v>39</v>
      </c>
      <c r="AP135" s="15" t="s">
        <v>90</v>
      </c>
      <c r="AQ135" s="168" t="s">
        <v>89</v>
      </c>
      <c r="AR135" s="168" t="s">
        <v>89</v>
      </c>
      <c r="AS135" s="15" t="s">
        <v>469</v>
      </c>
      <c r="AT135" s="15" t="s">
        <v>469</v>
      </c>
      <c r="AU135" s="15" t="s">
        <v>469</v>
      </c>
      <c r="AV135" s="15" t="s">
        <v>469</v>
      </c>
      <c r="AW135" s="69">
        <v>0.0</v>
      </c>
      <c r="AX135" s="96" t="str">
        <f t="shared" si="131"/>
        <v>&lt; $10K</v>
      </c>
      <c r="AY135" s="69">
        <v>1047.0</v>
      </c>
      <c r="AZ135" s="69">
        <v>0.0</v>
      </c>
      <c r="BA135" s="103" t="str">
        <f t="shared" si="132"/>
        <v>&lt; $10K</v>
      </c>
      <c r="BB135" s="103">
        <f t="shared" si="133"/>
        <v>1</v>
      </c>
      <c r="BC135" s="103" t="str">
        <f t="shared" si="134"/>
        <v>90% - 100%</v>
      </c>
      <c r="BD135" s="15" t="s">
        <v>41</v>
      </c>
      <c r="BF135" s="15" t="s">
        <v>469</v>
      </c>
      <c r="BG135" s="15">
        <v>0.0</v>
      </c>
      <c r="BH135" s="15">
        <v>1.0</v>
      </c>
      <c r="BI135" s="15" t="s">
        <v>469</v>
      </c>
      <c r="BJ135" s="15" t="s">
        <v>493</v>
      </c>
      <c r="BK135" s="15" t="s">
        <v>493</v>
      </c>
      <c r="BL135" s="15" t="s">
        <v>469</v>
      </c>
      <c r="BM135" s="15">
        <v>1.0</v>
      </c>
      <c r="BN135" s="15">
        <v>1.0</v>
      </c>
      <c r="BO135" s="15">
        <v>0.0</v>
      </c>
      <c r="BP135" s="15">
        <v>0.0</v>
      </c>
      <c r="BQ135" s="108"/>
      <c r="BR135" s="15">
        <v>5.0</v>
      </c>
      <c r="BS135" s="15">
        <v>0.0</v>
      </c>
      <c r="BT135" s="15">
        <v>0.0</v>
      </c>
      <c r="BU135" s="15">
        <v>27.0</v>
      </c>
      <c r="BV135" s="15" t="s">
        <v>469</v>
      </c>
      <c r="BW135" s="108"/>
      <c r="CC135" s="108"/>
      <c r="CI135" s="108"/>
      <c r="CO135" s="108"/>
      <c r="CU135" s="108"/>
      <c r="DA135" s="108"/>
      <c r="DG135" s="108"/>
      <c r="DM135" s="108"/>
      <c r="DS135" s="108"/>
      <c r="DT135" s="108"/>
      <c r="DU135" s="108"/>
      <c r="DW135" s="109"/>
      <c r="DX135" s="110">
        <f t="shared" si="13"/>
        <v>5</v>
      </c>
      <c r="DY135" s="111">
        <f t="shared" ref="DY135:DZ135" si="329">sum(BS135,BY135,CE135,CK135,CQ135,CW135,DC135,DI135,DO135)</f>
        <v>0</v>
      </c>
      <c r="DZ135" s="111">
        <f t="shared" si="329"/>
        <v>0</v>
      </c>
      <c r="EA135" s="110">
        <f t="shared" si="15"/>
        <v>27</v>
      </c>
      <c r="EB135" s="99" t="str">
        <f t="shared" si="16"/>
        <v>20 - 34</v>
      </c>
      <c r="EC135" s="112"/>
      <c r="ED135" s="113">
        <f t="shared" si="17"/>
        <v>4.4</v>
      </c>
      <c r="EE135" s="114">
        <f>IF(V135 &lt;&gt; "", 1+((V135-MIN(discount_rates))*(4)/(MAX(discount_rates) - MIN(discount_rates))), "")</f>
        <v>2.052631579</v>
      </c>
      <c r="EF135" s="114" t="str">
        <f>IF(Q135="Debt", (1+((S135-MIN(interest_rates))*(4)/(MAX(interest_rates) - MIN(interest_rates)))), "")</f>
        <v/>
      </c>
      <c r="EG135" s="114" t="str">
        <f>IF(OR(Q135="Revenue Share", Q135="Profit Share"), (1+((R135-MIN(return_mutiples))*(4)/(MAX(return_mutiples) - MIN(return_mutiples)))), "")</f>
        <v/>
      </c>
      <c r="EH135" s="115">
        <f t="shared" si="18"/>
        <v>4.4</v>
      </c>
      <c r="EI135" s="116" t="str">
        <f t="shared" si="19"/>
        <v>SAFE</v>
      </c>
      <c r="EJ135" s="117">
        <f t="shared" si="20"/>
        <v>0.3561643836</v>
      </c>
      <c r="EK135" s="116" t="str">
        <f t="shared" si="21"/>
        <v>Early</v>
      </c>
      <c r="EL135" s="112"/>
      <c r="EM135" s="118">
        <f t="shared" si="22"/>
        <v>2.7</v>
      </c>
      <c r="EN135" s="118">
        <f t="shared" si="23"/>
        <v>2.3</v>
      </c>
      <c r="EO135" s="119">
        <f t="shared" si="24"/>
        <v>5</v>
      </c>
      <c r="EP135" s="115">
        <f>1+((EO135-MIN(market_ratings_sums))*(4)/(MAX(market_ratings_sums) - MIN(market_ratings_sums)))</f>
        <v>2.614035088</v>
      </c>
      <c r="EQ135" s="116" t="str">
        <f t="shared" si="25"/>
        <v>No</v>
      </c>
      <c r="ER135" s="112"/>
      <c r="ES135" s="123">
        <f>1+((DX135-MIN(industry_experiences))*(4)/(MAX(industry_experiences) - MIN(industry_experiences)))</f>
        <v>1.476190476</v>
      </c>
      <c r="ET135" s="123">
        <f>1+((DY135-MIN(previous_startups))*(4)/(MAX(previous_startups) - MIN(previous_startups)))</f>
        <v>1</v>
      </c>
      <c r="EU135" s="123">
        <f>1+((DZ135-MIN(exits))*(4)/(MAX(exits) - MIN(exits)))</f>
        <v>1</v>
      </c>
      <c r="EV135" s="119">
        <f t="shared" si="26"/>
        <v>3.476190476</v>
      </c>
      <c r="EW135" s="124">
        <f>1+((EV135-MIN(team_ratings_sums))*(4)/(MAX(team_ratings_sums) - MIN(team_ratings_sums)))</f>
        <v>1.260869565</v>
      </c>
      <c r="EX135" s="116" t="str">
        <f t="shared" si="27"/>
        <v>20 - 34</v>
      </c>
      <c r="EY135" s="125">
        <f t="shared" si="28"/>
        <v>0.2054794521</v>
      </c>
      <c r="EZ135" s="116">
        <f t="shared" si="29"/>
        <v>1</v>
      </c>
      <c r="FA135" s="125">
        <f t="shared" si="30"/>
        <v>0.4383561644</v>
      </c>
      <c r="FB135" s="116">
        <f t="shared" si="31"/>
        <v>1</v>
      </c>
      <c r="FC135" s="125">
        <f t="shared" si="32"/>
        <v>0.08219178082</v>
      </c>
      <c r="FD135" s="116" t="str">
        <f t="shared" si="33"/>
        <v>No</v>
      </c>
      <c r="FE135" s="125">
        <f t="shared" si="34"/>
        <v>0.7534246575</v>
      </c>
      <c r="FF135" s="116" t="str">
        <f t="shared" ref="FF135:FH135" si="330">BJ135</f>
        <v>Yes</v>
      </c>
      <c r="FG135" s="116" t="str">
        <f t="shared" si="330"/>
        <v>Yes</v>
      </c>
      <c r="FH135" s="116" t="str">
        <f t="shared" si="330"/>
        <v>No</v>
      </c>
      <c r="FI135" s="112"/>
      <c r="FJ135" s="116" t="str">
        <f t="shared" si="36"/>
        <v>Transactional</v>
      </c>
      <c r="FK135" s="125">
        <f t="shared" si="37"/>
        <v>0.602739726</v>
      </c>
      <c r="FL135" s="116" t="str">
        <f t="shared" si="38"/>
        <v>B2B</v>
      </c>
      <c r="FM135" s="125">
        <f t="shared" si="39"/>
        <v>0.2465753425</v>
      </c>
      <c r="FN135" s="116" t="str">
        <f t="shared" si="40"/>
        <v>Low</v>
      </c>
      <c r="FO135" s="125">
        <f t="shared" si="41"/>
        <v>0.4383561644</v>
      </c>
      <c r="FP135" s="116" t="str">
        <f t="shared" si="42"/>
        <v>Low</v>
      </c>
      <c r="FQ135" s="125">
        <f t="shared" si="43"/>
        <v>0.3561643836</v>
      </c>
      <c r="FR135" s="112"/>
      <c r="FS135" s="123">
        <f t="shared" si="44"/>
        <v>1</v>
      </c>
      <c r="FT135" s="123">
        <f t="shared" si="45"/>
        <v>1</v>
      </c>
      <c r="FU135" s="123">
        <f t="shared" si="46"/>
        <v>1</v>
      </c>
      <c r="FV135" s="123">
        <f t="shared" si="47"/>
        <v>5</v>
      </c>
      <c r="FW135" s="119">
        <f t="shared" si="48"/>
        <v>8</v>
      </c>
      <c r="FX135" s="115">
        <f>1+((FW135-MIN(performance_ratings_sums))*(4)/(MAX(performance_ratings_sums) - MIN(performance_ratings_sums)))</f>
        <v>1.485981308</v>
      </c>
      <c r="FY135" s="116" t="str">
        <f t="shared" si="49"/>
        <v>Pre-Product</v>
      </c>
      <c r="FZ135" s="126">
        <f t="shared" si="50"/>
        <v>0.2328767123</v>
      </c>
      <c r="GA135" s="112"/>
      <c r="GB135" s="127">
        <f t="shared" si="51"/>
        <v>5</v>
      </c>
      <c r="GC135" s="116" t="str">
        <f t="shared" si="52"/>
        <v>No</v>
      </c>
      <c r="GD135" s="126">
        <f t="shared" si="53"/>
        <v>0.7671232877</v>
      </c>
      <c r="GE135" s="126" t="str">
        <f t="shared" si="54"/>
        <v>Low</v>
      </c>
      <c r="GF135" s="126">
        <f t="shared" si="55"/>
        <v>0.5479452055</v>
      </c>
      <c r="GG135" s="126" t="str">
        <f t="shared" si="56"/>
        <v>Low</v>
      </c>
      <c r="GH135" s="126">
        <f t="shared" si="57"/>
        <v>0.1917808219</v>
      </c>
      <c r="GI135" s="112"/>
      <c r="GJ135" s="116"/>
      <c r="GK135" s="119">
        <f t="shared" si="58"/>
        <v>14.76088596</v>
      </c>
      <c r="GL135" s="128">
        <f>1+((GK135-MIN(ratings_sums))*(4)/(MAX(ratings_sums) - MIN(ratings_sums)))</f>
        <v>3.321825969</v>
      </c>
    </row>
    <row r="136" ht="15.75" customHeight="1">
      <c r="A136" s="161" t="s">
        <v>681</v>
      </c>
      <c r="B136" s="15">
        <v>1798352.0</v>
      </c>
      <c r="C136" s="162" t="s">
        <v>1120</v>
      </c>
      <c r="D136" s="163">
        <v>43882.43819444445</v>
      </c>
      <c r="E136" s="15" t="s">
        <v>350</v>
      </c>
      <c r="F136" s="164" t="s">
        <v>1121</v>
      </c>
      <c r="G136" s="164" t="s">
        <v>1122</v>
      </c>
      <c r="H136" s="173">
        <v>43906.0</v>
      </c>
      <c r="I136" s="162" t="s">
        <v>1123</v>
      </c>
      <c r="J136" s="162" t="s">
        <v>1120</v>
      </c>
      <c r="K136" s="15" t="s">
        <v>432</v>
      </c>
      <c r="L136" s="15" t="s">
        <v>154</v>
      </c>
      <c r="M136" s="15" t="s">
        <v>31</v>
      </c>
      <c r="N136" s="15" t="s">
        <v>32</v>
      </c>
      <c r="O136" s="15" t="s">
        <v>35</v>
      </c>
      <c r="Q136" s="15" t="s">
        <v>121</v>
      </c>
      <c r="R136" s="166"/>
      <c r="S136" s="120"/>
      <c r="T136" s="69">
        <v>2587500.0</v>
      </c>
      <c r="V136" s="132"/>
      <c r="W136" s="96" t="str">
        <f t="shared" si="125"/>
        <v/>
      </c>
      <c r="X136" s="98">
        <f t="shared" si="126"/>
        <v>2587500</v>
      </c>
      <c r="Y136" s="99" t="str">
        <f t="shared" si="127"/>
        <v>$2M - $4M</v>
      </c>
      <c r="Z136" s="15" t="s">
        <v>86</v>
      </c>
      <c r="AA136" s="15" t="s">
        <v>123</v>
      </c>
      <c r="AB136" s="15" t="s">
        <v>88</v>
      </c>
      <c r="AC136" s="15" t="s">
        <v>493</v>
      </c>
      <c r="AD136" s="15" t="s">
        <v>39</v>
      </c>
      <c r="AE136" s="15" t="s">
        <v>89</v>
      </c>
      <c r="AF136" s="15" t="s">
        <v>469</v>
      </c>
      <c r="AG136" s="69">
        <v>6.0E12</v>
      </c>
      <c r="AH136" s="97" t="str">
        <f t="shared" si="128"/>
        <v>&gt; $1T</v>
      </c>
      <c r="AI136" s="69">
        <v>1.0E11</v>
      </c>
      <c r="AJ136" s="97" t="str">
        <f t="shared" si="129"/>
        <v>$100B-$250B</v>
      </c>
      <c r="AK136" s="167">
        <v>0.17</v>
      </c>
      <c r="AL136" s="88" t="str">
        <f t="shared" si="130"/>
        <v>10%-20%</v>
      </c>
      <c r="AM136" s="15">
        <v>20.0</v>
      </c>
      <c r="AN136" s="15" t="s">
        <v>89</v>
      </c>
      <c r="AO136" s="15" t="s">
        <v>89</v>
      </c>
      <c r="AP136" s="15" t="s">
        <v>106</v>
      </c>
      <c r="AQ136" s="168" t="s">
        <v>89</v>
      </c>
      <c r="AR136" s="168" t="s">
        <v>39</v>
      </c>
      <c r="AS136" s="15" t="s">
        <v>469</v>
      </c>
      <c r="AT136" s="15" t="s">
        <v>469</v>
      </c>
      <c r="AU136" s="15" t="s">
        <v>469</v>
      </c>
      <c r="AV136" s="15" t="s">
        <v>469</v>
      </c>
      <c r="AW136" s="69">
        <v>0.0</v>
      </c>
      <c r="AX136" s="96" t="str">
        <f t="shared" si="131"/>
        <v>&lt; $10K</v>
      </c>
      <c r="AY136" s="69">
        <v>838.0</v>
      </c>
      <c r="AZ136" s="69">
        <v>0.0</v>
      </c>
      <c r="BA136" s="103" t="str">
        <f t="shared" si="132"/>
        <v>&lt; $10K</v>
      </c>
      <c r="BB136" s="103">
        <f t="shared" si="133"/>
        <v>1</v>
      </c>
      <c r="BC136" s="103" t="str">
        <f t="shared" si="134"/>
        <v>90% - 100%</v>
      </c>
      <c r="BD136" s="15" t="s">
        <v>41</v>
      </c>
      <c r="BF136" s="15" t="s">
        <v>469</v>
      </c>
      <c r="BG136" s="15">
        <v>0.0</v>
      </c>
      <c r="BH136" s="15">
        <v>3.0</v>
      </c>
      <c r="BI136" s="15" t="s">
        <v>469</v>
      </c>
      <c r="BJ136" s="15" t="s">
        <v>493</v>
      </c>
      <c r="BK136" s="15" t="s">
        <v>469</v>
      </c>
      <c r="BL136" s="15" t="s">
        <v>469</v>
      </c>
      <c r="BM136" s="15">
        <v>4.0</v>
      </c>
      <c r="BN136" s="15">
        <v>3.0</v>
      </c>
      <c r="BO136" s="15">
        <v>0.0</v>
      </c>
      <c r="BP136" s="15">
        <v>0.0</v>
      </c>
      <c r="BQ136" s="108"/>
      <c r="BR136" s="15">
        <v>10.0</v>
      </c>
      <c r="BS136" s="15">
        <v>0.0</v>
      </c>
      <c r="BT136" s="15">
        <v>0.0</v>
      </c>
      <c r="BU136" s="15">
        <v>60.0</v>
      </c>
      <c r="BV136" s="15" t="s">
        <v>469</v>
      </c>
      <c r="BW136" s="108"/>
      <c r="BX136" s="15">
        <v>15.0</v>
      </c>
      <c r="BY136" s="15">
        <v>0.0</v>
      </c>
      <c r="BZ136" s="15">
        <v>0.0</v>
      </c>
      <c r="CA136" s="15">
        <v>60.0</v>
      </c>
      <c r="CB136" s="15" t="s">
        <v>469</v>
      </c>
      <c r="CC136" s="108"/>
      <c r="CD136" s="15">
        <v>10.0</v>
      </c>
      <c r="CE136" s="15">
        <v>0.0</v>
      </c>
      <c r="CF136" s="15">
        <v>0.0</v>
      </c>
      <c r="CG136" s="15">
        <v>50.0</v>
      </c>
      <c r="CH136" s="15" t="s">
        <v>469</v>
      </c>
      <c r="CI136" s="108"/>
      <c r="CO136" s="108"/>
      <c r="CU136" s="108"/>
      <c r="DA136" s="108"/>
      <c r="DG136" s="108"/>
      <c r="DM136" s="108"/>
      <c r="DS136" s="108"/>
      <c r="DT136" s="108"/>
      <c r="DU136" s="108"/>
      <c r="DW136" s="109"/>
      <c r="DX136" s="110">
        <f t="shared" si="13"/>
        <v>11.66666667</v>
      </c>
      <c r="DY136" s="111">
        <f t="shared" ref="DY136:DZ136" si="331">sum(BS136,BY136,CE136,CK136,CQ136,CW136,DC136,DI136,DO136)</f>
        <v>0</v>
      </c>
      <c r="DZ136" s="111">
        <f t="shared" si="331"/>
        <v>0</v>
      </c>
      <c r="EA136" s="110">
        <f t="shared" si="15"/>
        <v>56.66666667</v>
      </c>
      <c r="EB136" s="99" t="str">
        <f t="shared" si="16"/>
        <v>55+</v>
      </c>
      <c r="EC136" s="112"/>
      <c r="ED136" s="113">
        <f t="shared" si="17"/>
        <v>4.6</v>
      </c>
      <c r="EE136" s="114" t="str">
        <f>IF(V136 &lt;&gt; "", 1+((V136-MIN(discount_rates))*(4)/(MAX(discount_rates) - MIN(discount_rates))), "")</f>
        <v/>
      </c>
      <c r="EF136" s="114" t="str">
        <f>IF(Q136="Debt", (1+((S136-MIN(interest_rates))*(4)/(MAX(interest_rates) - MIN(interest_rates)))), "")</f>
        <v/>
      </c>
      <c r="EG136" s="114" t="str">
        <f>IF(OR(Q136="Revenue Share", Q136="Profit Share"), (1+((R136-MIN(return_mutiples))*(4)/(MAX(return_mutiples) - MIN(return_mutiples)))), "")</f>
        <v/>
      </c>
      <c r="EH136" s="115">
        <f t="shared" si="18"/>
        <v>4.6</v>
      </c>
      <c r="EI136" s="116" t="str">
        <f t="shared" si="19"/>
        <v>Equity - Common</v>
      </c>
      <c r="EJ136" s="117">
        <f t="shared" si="20"/>
        <v>0.3287671233</v>
      </c>
      <c r="EK136" s="116" t="str">
        <f t="shared" si="21"/>
        <v>Early</v>
      </c>
      <c r="EL136" s="112"/>
      <c r="EM136" s="118">
        <f t="shared" si="22"/>
        <v>4.1</v>
      </c>
      <c r="EN136" s="118">
        <f t="shared" si="23"/>
        <v>2.3</v>
      </c>
      <c r="EO136" s="119">
        <f t="shared" si="24"/>
        <v>6.4</v>
      </c>
      <c r="EP136" s="115">
        <f>1+((EO136-MIN(market_ratings_sums))*(4)/(MAX(market_ratings_sums) - MIN(market_ratings_sums)))</f>
        <v>3.596491228</v>
      </c>
      <c r="EQ136" s="116" t="str">
        <f t="shared" si="25"/>
        <v>No</v>
      </c>
      <c r="ER136" s="112"/>
      <c r="ES136" s="123">
        <f>1+((DX136-MIN(industry_experiences))*(4)/(MAX(industry_experiences) - MIN(industry_experiences)))</f>
        <v>2.111111111</v>
      </c>
      <c r="ET136" s="123">
        <f>1+((DY136-MIN(previous_startups))*(4)/(MAX(previous_startups) - MIN(previous_startups)))</f>
        <v>1</v>
      </c>
      <c r="EU136" s="123">
        <f>1+((DZ136-MIN(exits))*(4)/(MAX(exits) - MIN(exits)))</f>
        <v>1</v>
      </c>
      <c r="EV136" s="119">
        <f t="shared" si="26"/>
        <v>4.111111111</v>
      </c>
      <c r="EW136" s="124">
        <f>1+((EV136-MIN(team_ratings_sums))*(4)/(MAX(team_ratings_sums) - MIN(team_ratings_sums)))</f>
        <v>1.608695652</v>
      </c>
      <c r="EX136" s="116" t="str">
        <f t="shared" si="27"/>
        <v>55+</v>
      </c>
      <c r="EY136" s="125">
        <f t="shared" si="28"/>
        <v>0.1095890411</v>
      </c>
      <c r="EZ136" s="116">
        <f t="shared" si="29"/>
        <v>3</v>
      </c>
      <c r="FA136" s="125">
        <f t="shared" si="30"/>
        <v>0.05479452055</v>
      </c>
      <c r="FB136" s="116">
        <f t="shared" si="31"/>
        <v>3</v>
      </c>
      <c r="FC136" s="125">
        <f t="shared" si="32"/>
        <v>0.08219178082</v>
      </c>
      <c r="FD136" s="116" t="str">
        <f t="shared" si="33"/>
        <v>No</v>
      </c>
      <c r="FE136" s="125">
        <f t="shared" si="34"/>
        <v>0.7534246575</v>
      </c>
      <c r="FF136" s="116" t="str">
        <f t="shared" ref="FF136:FH136" si="332">BJ136</f>
        <v>Yes</v>
      </c>
      <c r="FG136" s="116" t="str">
        <f t="shared" si="332"/>
        <v>No</v>
      </c>
      <c r="FH136" s="116" t="str">
        <f t="shared" si="332"/>
        <v>No</v>
      </c>
      <c r="FI136" s="112"/>
      <c r="FJ136" s="116" t="str">
        <f t="shared" si="36"/>
        <v>Recurring</v>
      </c>
      <c r="FK136" s="125">
        <f t="shared" si="37"/>
        <v>0.397260274</v>
      </c>
      <c r="FL136" s="116" t="str">
        <f t="shared" si="38"/>
        <v>B2B/B2C</v>
      </c>
      <c r="FM136" s="125">
        <f t="shared" si="39"/>
        <v>0.3287671233</v>
      </c>
      <c r="FN136" s="116" t="str">
        <f t="shared" si="40"/>
        <v>High</v>
      </c>
      <c r="FO136" s="125">
        <f t="shared" si="41"/>
        <v>0.5616438356</v>
      </c>
      <c r="FP136" s="116" t="str">
        <f t="shared" si="42"/>
        <v>Low</v>
      </c>
      <c r="FQ136" s="125">
        <f t="shared" si="43"/>
        <v>0.3561643836</v>
      </c>
      <c r="FR136" s="112"/>
      <c r="FS136" s="123">
        <f t="shared" si="44"/>
        <v>1</v>
      </c>
      <c r="FT136" s="123">
        <f t="shared" si="45"/>
        <v>1</v>
      </c>
      <c r="FU136" s="123">
        <f t="shared" si="46"/>
        <v>1</v>
      </c>
      <c r="FV136" s="123">
        <f t="shared" si="47"/>
        <v>5</v>
      </c>
      <c r="FW136" s="119">
        <f t="shared" si="48"/>
        <v>8</v>
      </c>
      <c r="FX136" s="115">
        <f>1+((FW136-MIN(performance_ratings_sums))*(4)/(MAX(performance_ratings_sums) - MIN(performance_ratings_sums)))</f>
        <v>1.485981308</v>
      </c>
      <c r="FY136" s="116" t="str">
        <f t="shared" si="49"/>
        <v>Pre-Product</v>
      </c>
      <c r="FZ136" s="126">
        <f t="shared" si="50"/>
        <v>0.2328767123</v>
      </c>
      <c r="GA136" s="112"/>
      <c r="GB136" s="127">
        <f t="shared" si="51"/>
        <v>1</v>
      </c>
      <c r="GC136" s="116" t="str">
        <f t="shared" si="52"/>
        <v>No</v>
      </c>
      <c r="GD136" s="126">
        <f t="shared" si="53"/>
        <v>0.7671232877</v>
      </c>
      <c r="GE136" s="126" t="str">
        <f t="shared" si="54"/>
        <v>Low</v>
      </c>
      <c r="GF136" s="126">
        <f t="shared" si="55"/>
        <v>0.5479452055</v>
      </c>
      <c r="GG136" s="126" t="str">
        <f t="shared" si="56"/>
        <v>High</v>
      </c>
      <c r="GH136" s="126">
        <f t="shared" si="57"/>
        <v>0.8082191781</v>
      </c>
      <c r="GI136" s="112"/>
      <c r="GJ136" s="116"/>
      <c r="GK136" s="119">
        <f t="shared" si="58"/>
        <v>12.29116819</v>
      </c>
      <c r="GL136" s="128">
        <f>1+((GK136-MIN(ratings_sums))*(4)/(MAX(ratings_sums) - MIN(ratings_sums)))</f>
        <v>2.564017848</v>
      </c>
    </row>
    <row r="137" ht="15.75" customHeight="1">
      <c r="A137" s="161" t="s">
        <v>681</v>
      </c>
      <c r="B137" s="15">
        <v>1792121.0</v>
      </c>
      <c r="C137" s="162" t="s">
        <v>1124</v>
      </c>
      <c r="D137" s="163">
        <v>43882.44097222222</v>
      </c>
      <c r="E137" s="15" t="s">
        <v>369</v>
      </c>
      <c r="F137" s="164" t="s">
        <v>1125</v>
      </c>
      <c r="G137" s="164" t="s">
        <v>1126</v>
      </c>
      <c r="H137" s="173">
        <v>43881.0</v>
      </c>
      <c r="I137" s="162" t="s">
        <v>1127</v>
      </c>
      <c r="J137" s="162" t="s">
        <v>1124</v>
      </c>
      <c r="K137" s="15" t="s">
        <v>438</v>
      </c>
      <c r="L137" s="15" t="s">
        <v>349</v>
      </c>
      <c r="M137" s="15" t="s">
        <v>31</v>
      </c>
      <c r="N137" s="15" t="s">
        <v>82</v>
      </c>
      <c r="O137" s="15" t="s">
        <v>35</v>
      </c>
      <c r="Q137" s="15" t="s">
        <v>195</v>
      </c>
      <c r="R137" s="166"/>
      <c r="S137" s="120"/>
      <c r="T137" s="69"/>
      <c r="U137" s="69">
        <v>6000000.0</v>
      </c>
      <c r="V137" s="132">
        <v>0.0</v>
      </c>
      <c r="W137" s="96">
        <f t="shared" si="125"/>
        <v>6000000</v>
      </c>
      <c r="X137" s="98">
        <f t="shared" si="126"/>
        <v>6000000</v>
      </c>
      <c r="Y137" s="99" t="str">
        <f t="shared" si="127"/>
        <v>$4M - $6M</v>
      </c>
      <c r="Z137" s="15" t="s">
        <v>36</v>
      </c>
      <c r="AA137" s="15" t="s">
        <v>123</v>
      </c>
      <c r="AB137" s="15" t="s">
        <v>88</v>
      </c>
      <c r="AC137" s="15" t="s">
        <v>493</v>
      </c>
      <c r="AD137" s="15" t="s">
        <v>89</v>
      </c>
      <c r="AE137" s="15" t="s">
        <v>89</v>
      </c>
      <c r="AF137" s="15" t="s">
        <v>469</v>
      </c>
      <c r="AG137" s="69">
        <v>2.0E12</v>
      </c>
      <c r="AH137" s="97" t="str">
        <f t="shared" si="128"/>
        <v>&gt; $1T</v>
      </c>
      <c r="AI137" s="69">
        <v>7.2E10</v>
      </c>
      <c r="AJ137" s="97" t="str">
        <f t="shared" si="129"/>
        <v>$50B-$100B</v>
      </c>
      <c r="AK137" s="167">
        <v>0.09</v>
      </c>
      <c r="AL137" s="88" t="str">
        <f t="shared" si="130"/>
        <v>0%-10%</v>
      </c>
      <c r="AM137" s="15">
        <v>30.0</v>
      </c>
      <c r="AN137" s="15" t="s">
        <v>39</v>
      </c>
      <c r="AO137" s="15" t="s">
        <v>89</v>
      </c>
      <c r="AP137" s="15" t="s">
        <v>90</v>
      </c>
      <c r="AQ137" s="168" t="s">
        <v>89</v>
      </c>
      <c r="AR137" s="168" t="s">
        <v>39</v>
      </c>
      <c r="AS137" s="15" t="s">
        <v>469</v>
      </c>
      <c r="AT137" s="15" t="s">
        <v>469</v>
      </c>
      <c r="AU137" s="15" t="s">
        <v>493</v>
      </c>
      <c r="AV137" s="15" t="s">
        <v>493</v>
      </c>
      <c r="AW137" s="69">
        <v>0.0</v>
      </c>
      <c r="AX137" s="96" t="str">
        <f t="shared" si="131"/>
        <v>&lt; $10K</v>
      </c>
      <c r="AY137" s="69">
        <v>15266.0</v>
      </c>
      <c r="AZ137" s="69">
        <v>440000.0</v>
      </c>
      <c r="BA137" s="103" t="str">
        <f t="shared" si="132"/>
        <v>$100K - $500K</v>
      </c>
      <c r="BB137" s="103">
        <f t="shared" si="133"/>
        <v>0.03469545455</v>
      </c>
      <c r="BC137" s="103" t="str">
        <f t="shared" si="134"/>
        <v>&lt; 10%</v>
      </c>
      <c r="BD137" s="15" t="s">
        <v>107</v>
      </c>
      <c r="BF137" s="15" t="s">
        <v>469</v>
      </c>
      <c r="BG137" s="15">
        <v>0.0</v>
      </c>
      <c r="BH137" s="15">
        <v>2.0</v>
      </c>
      <c r="BI137" s="15" t="s">
        <v>469</v>
      </c>
      <c r="BJ137" s="15" t="s">
        <v>493</v>
      </c>
      <c r="BK137" s="15" t="s">
        <v>469</v>
      </c>
      <c r="BL137" s="15" t="s">
        <v>469</v>
      </c>
      <c r="BM137" s="15">
        <v>4.0</v>
      </c>
      <c r="BN137" s="15">
        <v>5.0</v>
      </c>
      <c r="BO137" s="15">
        <v>6.0</v>
      </c>
      <c r="BP137" s="15">
        <v>1.0</v>
      </c>
      <c r="BQ137" s="108"/>
      <c r="BR137" s="15">
        <v>10.0</v>
      </c>
      <c r="BS137" s="15">
        <v>1.0</v>
      </c>
      <c r="BT137" s="15">
        <v>0.0</v>
      </c>
      <c r="BU137" s="15">
        <v>32.0</v>
      </c>
      <c r="BV137" s="15" t="s">
        <v>469</v>
      </c>
      <c r="BW137" s="108"/>
      <c r="BX137" s="15">
        <v>5.0</v>
      </c>
      <c r="BY137" s="15">
        <v>2.0</v>
      </c>
      <c r="BZ137" s="15">
        <v>1.0</v>
      </c>
      <c r="CC137" s="108"/>
      <c r="CI137" s="108"/>
      <c r="CO137" s="108"/>
      <c r="CU137" s="108"/>
      <c r="DA137" s="108"/>
      <c r="DG137" s="108"/>
      <c r="DM137" s="108"/>
      <c r="DS137" s="108"/>
      <c r="DT137" s="108"/>
      <c r="DU137" s="108"/>
      <c r="DW137" s="109"/>
      <c r="DX137" s="110">
        <f t="shared" si="13"/>
        <v>7.5</v>
      </c>
      <c r="DY137" s="111">
        <f t="shared" ref="DY137:DZ137" si="333">sum(BS137,BY137,CE137,CK137,CQ137,CW137,DC137,DI137,DO137)</f>
        <v>3</v>
      </c>
      <c r="DZ137" s="111">
        <f t="shared" si="333"/>
        <v>1</v>
      </c>
      <c r="EA137" s="110">
        <f t="shared" si="15"/>
        <v>32</v>
      </c>
      <c r="EB137" s="99" t="str">
        <f t="shared" si="16"/>
        <v>20 - 34</v>
      </c>
      <c r="EC137" s="112"/>
      <c r="ED137" s="113">
        <f t="shared" si="17"/>
        <v>4.4</v>
      </c>
      <c r="EE137" s="114">
        <f>IF(V137 &lt;&gt; "", 1+((V137-MIN(discount_rates))*(4)/(MAX(discount_rates) - MIN(discount_rates))), "")</f>
        <v>1</v>
      </c>
      <c r="EF137" s="114" t="str">
        <f>IF(Q137="Debt", (1+((S137-MIN(interest_rates))*(4)/(MAX(interest_rates) - MIN(interest_rates)))), "")</f>
        <v/>
      </c>
      <c r="EG137" s="114" t="str">
        <f>IF(OR(Q137="Revenue Share", Q137="Profit Share"), (1+((R137-MIN(return_mutiples))*(4)/(MAX(return_mutiples) - MIN(return_mutiples)))), "")</f>
        <v/>
      </c>
      <c r="EH137" s="115">
        <f t="shared" si="18"/>
        <v>4.4</v>
      </c>
      <c r="EI137" s="116" t="str">
        <f t="shared" si="19"/>
        <v>SAFE</v>
      </c>
      <c r="EJ137" s="117">
        <f t="shared" si="20"/>
        <v>0.3561643836</v>
      </c>
      <c r="EK137" s="116" t="str">
        <f t="shared" si="21"/>
        <v>Early</v>
      </c>
      <c r="EL137" s="112"/>
      <c r="EM137" s="118">
        <f t="shared" si="22"/>
        <v>3.9</v>
      </c>
      <c r="EN137" s="118">
        <f t="shared" si="23"/>
        <v>1.7</v>
      </c>
      <c r="EO137" s="119">
        <f t="shared" si="24"/>
        <v>5.6</v>
      </c>
      <c r="EP137" s="115">
        <f>1+((EO137-MIN(market_ratings_sums))*(4)/(MAX(market_ratings_sums) - MIN(market_ratings_sums)))</f>
        <v>3.035087719</v>
      </c>
      <c r="EQ137" s="116" t="str">
        <f t="shared" si="25"/>
        <v>No</v>
      </c>
      <c r="ER137" s="112"/>
      <c r="ES137" s="123">
        <f>1+((DX137-MIN(industry_experiences))*(4)/(MAX(industry_experiences) - MIN(industry_experiences)))</f>
        <v>1.714285714</v>
      </c>
      <c r="ET137" s="123">
        <f>1+((DY137-MIN(previous_startups))*(4)/(MAX(previous_startups) - MIN(previous_startups)))</f>
        <v>2.333333333</v>
      </c>
      <c r="EU137" s="123">
        <f>1+((DZ137-MIN(exits))*(4)/(MAX(exits) - MIN(exits)))</f>
        <v>2</v>
      </c>
      <c r="EV137" s="119">
        <f t="shared" si="26"/>
        <v>6.047619048</v>
      </c>
      <c r="EW137" s="124">
        <f>1+((EV137-MIN(team_ratings_sums))*(4)/(MAX(team_ratings_sums) - MIN(team_ratings_sums)))</f>
        <v>2.669565217</v>
      </c>
      <c r="EX137" s="116" t="str">
        <f t="shared" si="27"/>
        <v>20 - 34</v>
      </c>
      <c r="EY137" s="125">
        <f t="shared" si="28"/>
        <v>0.2054794521</v>
      </c>
      <c r="EZ137" s="116">
        <f t="shared" si="29"/>
        <v>2</v>
      </c>
      <c r="FA137" s="125">
        <f t="shared" si="30"/>
        <v>0.4520547945</v>
      </c>
      <c r="FB137" s="116">
        <f t="shared" si="31"/>
        <v>5</v>
      </c>
      <c r="FC137" s="125">
        <f t="shared" si="32"/>
        <v>0.1369863014</v>
      </c>
      <c r="FD137" s="116" t="str">
        <f t="shared" si="33"/>
        <v>No</v>
      </c>
      <c r="FE137" s="125">
        <f t="shared" si="34"/>
        <v>0.7534246575</v>
      </c>
      <c r="FF137" s="116" t="str">
        <f t="shared" ref="FF137:FH137" si="334">BJ137</f>
        <v>Yes</v>
      </c>
      <c r="FG137" s="116" t="str">
        <f t="shared" si="334"/>
        <v>No</v>
      </c>
      <c r="FH137" s="116" t="str">
        <f t="shared" si="334"/>
        <v>No</v>
      </c>
      <c r="FI137" s="112"/>
      <c r="FJ137" s="116" t="str">
        <f t="shared" si="36"/>
        <v>Transactional</v>
      </c>
      <c r="FK137" s="125">
        <f t="shared" si="37"/>
        <v>0.602739726</v>
      </c>
      <c r="FL137" s="116" t="str">
        <f t="shared" si="38"/>
        <v>B2B/B2C</v>
      </c>
      <c r="FM137" s="125">
        <f t="shared" si="39"/>
        <v>0.3287671233</v>
      </c>
      <c r="FN137" s="116" t="str">
        <f t="shared" si="40"/>
        <v>Low</v>
      </c>
      <c r="FO137" s="125">
        <f t="shared" si="41"/>
        <v>0.4383561644</v>
      </c>
      <c r="FP137" s="116" t="str">
        <f t="shared" si="42"/>
        <v>Low</v>
      </c>
      <c r="FQ137" s="125">
        <f t="shared" si="43"/>
        <v>0.3561643836</v>
      </c>
      <c r="FR137" s="112"/>
      <c r="FS137" s="123">
        <f t="shared" si="44"/>
        <v>5</v>
      </c>
      <c r="FT137" s="123">
        <f t="shared" si="45"/>
        <v>1</v>
      </c>
      <c r="FU137" s="123">
        <f t="shared" si="46"/>
        <v>5</v>
      </c>
      <c r="FV137" s="123">
        <f t="shared" si="47"/>
        <v>3.7</v>
      </c>
      <c r="FW137" s="119">
        <f t="shared" si="48"/>
        <v>14.7</v>
      </c>
      <c r="FX137" s="115">
        <f>1+((FW137-MIN(performance_ratings_sums))*(4)/(MAX(performance_ratings_sums) - MIN(performance_ratings_sums)))</f>
        <v>3.990654206</v>
      </c>
      <c r="FY137" s="116" t="str">
        <f t="shared" si="49"/>
        <v>Pre-Profit</v>
      </c>
      <c r="FZ137" s="126">
        <f t="shared" si="50"/>
        <v>0.4931506849</v>
      </c>
      <c r="GA137" s="112"/>
      <c r="GB137" s="127">
        <f t="shared" si="51"/>
        <v>3</v>
      </c>
      <c r="GC137" s="116" t="str">
        <f t="shared" si="52"/>
        <v>No</v>
      </c>
      <c r="GD137" s="126">
        <f t="shared" si="53"/>
        <v>0.7671232877</v>
      </c>
      <c r="GE137" s="126" t="str">
        <f t="shared" si="54"/>
        <v>Low</v>
      </c>
      <c r="GF137" s="126">
        <f t="shared" si="55"/>
        <v>0.5479452055</v>
      </c>
      <c r="GG137" s="126" t="str">
        <f t="shared" si="56"/>
        <v>High</v>
      </c>
      <c r="GH137" s="126">
        <f t="shared" si="57"/>
        <v>0.8082191781</v>
      </c>
      <c r="GI137" s="112"/>
      <c r="GJ137" s="116"/>
      <c r="GK137" s="119">
        <f t="shared" si="58"/>
        <v>17.09530714</v>
      </c>
      <c r="GL137" s="128">
        <f>1+((GK137-MIN(ratings_sums))*(4)/(MAX(ratings_sums) - MIN(ratings_sums)))</f>
        <v>4.038119688</v>
      </c>
    </row>
    <row r="138" ht="15.75" customHeight="1">
      <c r="A138" s="161" t="s">
        <v>1128</v>
      </c>
      <c r="B138" s="15">
        <v>1733206.0</v>
      </c>
      <c r="C138" s="162" t="s">
        <v>1129</v>
      </c>
      <c r="D138" s="163">
        <v>43566.81180555555</v>
      </c>
      <c r="E138" s="15" t="s">
        <v>381</v>
      </c>
      <c r="F138" s="164" t="s">
        <v>1130</v>
      </c>
      <c r="G138" s="164" t="s">
        <v>1131</v>
      </c>
      <c r="H138" s="173">
        <v>43837.0</v>
      </c>
      <c r="I138" s="162" t="s">
        <v>1132</v>
      </c>
      <c r="J138" s="162" t="s">
        <v>1129</v>
      </c>
      <c r="K138" s="15" t="s">
        <v>442</v>
      </c>
      <c r="L138" s="15" t="s">
        <v>80</v>
      </c>
      <c r="M138" s="15" t="s">
        <v>31</v>
      </c>
      <c r="N138" s="15" t="s">
        <v>82</v>
      </c>
      <c r="O138" s="15" t="s">
        <v>35</v>
      </c>
      <c r="Q138" s="15" t="s">
        <v>121</v>
      </c>
      <c r="R138" s="166"/>
      <c r="S138" s="120"/>
      <c r="T138" s="69">
        <v>1.1189805E7</v>
      </c>
      <c r="U138" s="69"/>
      <c r="V138" s="132"/>
      <c r="W138" s="96" t="str">
        <f t="shared" si="125"/>
        <v/>
      </c>
      <c r="X138" s="98">
        <f t="shared" si="126"/>
        <v>11189805</v>
      </c>
      <c r="Y138" s="99" t="str">
        <f t="shared" si="127"/>
        <v>$10M - $12M</v>
      </c>
      <c r="Z138" s="15" t="s">
        <v>86</v>
      </c>
      <c r="AA138" s="15" t="s">
        <v>123</v>
      </c>
      <c r="AB138" s="15" t="s">
        <v>88</v>
      </c>
      <c r="AC138" s="15" t="s">
        <v>493</v>
      </c>
      <c r="AD138" s="15" t="s">
        <v>39</v>
      </c>
      <c r="AE138" s="15" t="s">
        <v>89</v>
      </c>
      <c r="AF138" s="15" t="s">
        <v>469</v>
      </c>
      <c r="AG138" s="69">
        <v>2.0E11</v>
      </c>
      <c r="AH138" s="97" t="str">
        <f t="shared" si="128"/>
        <v>$100B-$250B</v>
      </c>
      <c r="AI138" s="69">
        <v>1.134E9</v>
      </c>
      <c r="AJ138" s="97" t="str">
        <f t="shared" si="129"/>
        <v>$1B-$5B</v>
      </c>
      <c r="AK138" s="167">
        <v>0.13</v>
      </c>
      <c r="AL138" s="88" t="str">
        <f t="shared" si="130"/>
        <v>10%-20%</v>
      </c>
      <c r="AM138" s="15">
        <v>5.0</v>
      </c>
      <c r="AN138" s="15" t="s">
        <v>89</v>
      </c>
      <c r="AO138" s="15" t="s">
        <v>89</v>
      </c>
      <c r="AP138" s="15" t="s">
        <v>40</v>
      </c>
      <c r="AQ138" s="168"/>
      <c r="AR138" s="168"/>
      <c r="AS138" s="15" t="s">
        <v>469</v>
      </c>
      <c r="AT138" s="15" t="s">
        <v>493</v>
      </c>
      <c r="AU138" s="15" t="s">
        <v>469</v>
      </c>
      <c r="AV138" s="15" t="s">
        <v>469</v>
      </c>
      <c r="AW138" s="69">
        <v>0.0</v>
      </c>
      <c r="AX138" s="96" t="str">
        <f t="shared" si="131"/>
        <v>&lt; $10K</v>
      </c>
      <c r="AY138" s="69">
        <v>12219.0</v>
      </c>
      <c r="AZ138" s="69">
        <v>171000.0</v>
      </c>
      <c r="BA138" s="103" t="str">
        <f t="shared" si="132"/>
        <v>$100K - $500K</v>
      </c>
      <c r="BB138" s="103">
        <f t="shared" si="133"/>
        <v>0.07145614035</v>
      </c>
      <c r="BC138" s="103" t="str">
        <f t="shared" si="134"/>
        <v>&lt; 10%</v>
      </c>
      <c r="BD138" s="15" t="s">
        <v>91</v>
      </c>
      <c r="BF138" s="15" t="s">
        <v>469</v>
      </c>
      <c r="BG138" s="15">
        <v>0.0</v>
      </c>
      <c r="BH138" s="15">
        <v>2.0</v>
      </c>
      <c r="BI138" s="15" t="s">
        <v>493</v>
      </c>
      <c r="BJ138" s="15" t="s">
        <v>469</v>
      </c>
      <c r="BK138" s="15" t="s">
        <v>469</v>
      </c>
      <c r="BL138" s="15" t="s">
        <v>469</v>
      </c>
      <c r="BM138" s="15">
        <v>3.0</v>
      </c>
      <c r="BN138" s="15">
        <v>5.0</v>
      </c>
      <c r="BO138" s="15">
        <v>1.0</v>
      </c>
      <c r="BP138" s="15">
        <v>0.0</v>
      </c>
      <c r="BQ138" s="108"/>
      <c r="BR138" s="15">
        <v>5.0</v>
      </c>
      <c r="BS138" s="15">
        <v>1.0</v>
      </c>
      <c r="BT138" s="15">
        <v>0.0</v>
      </c>
      <c r="BU138" s="15">
        <v>32.0</v>
      </c>
      <c r="BV138" s="15" t="s">
        <v>493</v>
      </c>
      <c r="BW138" s="108"/>
      <c r="BX138" s="15">
        <v>25.0</v>
      </c>
      <c r="BY138" s="15">
        <v>1.0</v>
      </c>
      <c r="BZ138" s="15">
        <v>1.0</v>
      </c>
      <c r="CA138" s="15">
        <v>58.0</v>
      </c>
      <c r="CB138" s="15" t="s">
        <v>469</v>
      </c>
      <c r="CC138" s="108"/>
      <c r="CI138" s="108"/>
      <c r="CO138" s="108"/>
      <c r="CU138" s="108"/>
      <c r="DA138" s="108"/>
      <c r="DG138" s="108"/>
      <c r="DM138" s="108"/>
      <c r="DS138" s="108"/>
      <c r="DT138" s="108"/>
      <c r="DU138" s="108"/>
      <c r="DW138" s="109"/>
      <c r="DX138" s="110">
        <f t="shared" si="13"/>
        <v>15</v>
      </c>
      <c r="DY138" s="111">
        <f t="shared" ref="DY138:DZ138" si="335">sum(BS138,BY138,CE138,CK138,CQ138,CW138,DC138,DI138,DO138)</f>
        <v>2</v>
      </c>
      <c r="DZ138" s="111">
        <f t="shared" si="335"/>
        <v>1</v>
      </c>
      <c r="EA138" s="110">
        <f t="shared" si="15"/>
        <v>45</v>
      </c>
      <c r="EB138" s="99" t="str">
        <f t="shared" si="16"/>
        <v>35 - 54</v>
      </c>
      <c r="EC138" s="112"/>
      <c r="ED138" s="113">
        <f t="shared" si="17"/>
        <v>3.9</v>
      </c>
      <c r="EE138" s="114" t="str">
        <f>IF(V138 &lt;&gt; "", 1+((V138-MIN(discount_rates))*(4)/(MAX(discount_rates) - MIN(discount_rates))), "")</f>
        <v/>
      </c>
      <c r="EF138" s="114" t="str">
        <f>IF(Q138="Debt", (1+((S138-MIN(interest_rates))*(4)/(MAX(interest_rates) - MIN(interest_rates)))), "")</f>
        <v/>
      </c>
      <c r="EG138" s="114" t="str">
        <f>IF(OR(Q138="Revenue Share", Q138="Profit Share"), (1+((R138-MIN(return_mutiples))*(4)/(MAX(return_mutiples) - MIN(return_mutiples)))), "")</f>
        <v/>
      </c>
      <c r="EH138" s="115">
        <f t="shared" si="18"/>
        <v>3.9</v>
      </c>
      <c r="EI138" s="116" t="str">
        <f t="shared" si="19"/>
        <v>Equity - Common</v>
      </c>
      <c r="EJ138" s="117">
        <f t="shared" si="20"/>
        <v>0.3287671233</v>
      </c>
      <c r="EK138" s="116" t="str">
        <f t="shared" si="21"/>
        <v>Early</v>
      </c>
      <c r="EL138" s="112"/>
      <c r="EM138" s="118">
        <f t="shared" si="22"/>
        <v>2.7</v>
      </c>
      <c r="EN138" s="118">
        <f t="shared" si="23"/>
        <v>2.3</v>
      </c>
      <c r="EO138" s="119">
        <f t="shared" si="24"/>
        <v>5</v>
      </c>
      <c r="EP138" s="115">
        <f>1+((EO138-MIN(market_ratings_sums))*(4)/(MAX(market_ratings_sums) - MIN(market_ratings_sums)))</f>
        <v>2.614035088</v>
      </c>
      <c r="EQ138" s="116" t="str">
        <f t="shared" si="25"/>
        <v>No</v>
      </c>
      <c r="ER138" s="112"/>
      <c r="ES138" s="123">
        <f>1+((DX138-MIN(industry_experiences))*(4)/(MAX(industry_experiences) - MIN(industry_experiences)))</f>
        <v>2.428571429</v>
      </c>
      <c r="ET138" s="123">
        <f>1+((DY138-MIN(previous_startups))*(4)/(MAX(previous_startups) - MIN(previous_startups)))</f>
        <v>1.888888889</v>
      </c>
      <c r="EU138" s="123">
        <f>1+((DZ138-MIN(exits))*(4)/(MAX(exits) - MIN(exits)))</f>
        <v>2</v>
      </c>
      <c r="EV138" s="119">
        <f t="shared" si="26"/>
        <v>6.317460317</v>
      </c>
      <c r="EW138" s="124">
        <f>1+((EV138-MIN(team_ratings_sums))*(4)/(MAX(team_ratings_sums) - MIN(team_ratings_sums)))</f>
        <v>2.817391304</v>
      </c>
      <c r="EX138" s="116" t="str">
        <f t="shared" si="27"/>
        <v>35 - 54</v>
      </c>
      <c r="EY138" s="125">
        <f t="shared" si="28"/>
        <v>0.6849315068</v>
      </c>
      <c r="EZ138" s="116">
        <f t="shared" si="29"/>
        <v>2</v>
      </c>
      <c r="FA138" s="125">
        <f t="shared" si="30"/>
        <v>0.4520547945</v>
      </c>
      <c r="FB138" s="116">
        <f t="shared" si="31"/>
        <v>5</v>
      </c>
      <c r="FC138" s="125">
        <f t="shared" si="32"/>
        <v>0.1369863014</v>
      </c>
      <c r="FD138" s="116" t="str">
        <f t="shared" si="33"/>
        <v>Yes</v>
      </c>
      <c r="FE138" s="125">
        <f t="shared" si="34"/>
        <v>0.2465753425</v>
      </c>
      <c r="FF138" s="116" t="str">
        <f t="shared" ref="FF138:FH138" si="336">BJ138</f>
        <v>No</v>
      </c>
      <c r="FG138" s="116" t="str">
        <f t="shared" si="336"/>
        <v>No</v>
      </c>
      <c r="FH138" s="116" t="str">
        <f t="shared" si="336"/>
        <v>No</v>
      </c>
      <c r="FI138" s="112"/>
      <c r="FJ138" s="116" t="str">
        <f t="shared" si="36"/>
        <v>Recurring</v>
      </c>
      <c r="FK138" s="125">
        <f t="shared" si="37"/>
        <v>0.397260274</v>
      </c>
      <c r="FL138" s="116" t="str">
        <f t="shared" si="38"/>
        <v>B2B/B2C</v>
      </c>
      <c r="FM138" s="125">
        <f t="shared" si="39"/>
        <v>0.3287671233</v>
      </c>
      <c r="FN138" s="116" t="str">
        <f t="shared" si="40"/>
        <v>High</v>
      </c>
      <c r="FO138" s="125">
        <f t="shared" si="41"/>
        <v>0.5616438356</v>
      </c>
      <c r="FP138" s="116" t="str">
        <f t="shared" si="42"/>
        <v>Low</v>
      </c>
      <c r="FQ138" s="125">
        <f t="shared" si="43"/>
        <v>0.3561643836</v>
      </c>
      <c r="FR138" s="112"/>
      <c r="FS138" s="123">
        <f t="shared" si="44"/>
        <v>1</v>
      </c>
      <c r="FT138" s="123">
        <f t="shared" si="45"/>
        <v>1</v>
      </c>
      <c r="FU138" s="123">
        <f t="shared" si="46"/>
        <v>5</v>
      </c>
      <c r="FV138" s="123">
        <f t="shared" si="47"/>
        <v>3.7</v>
      </c>
      <c r="FW138" s="119">
        <f t="shared" si="48"/>
        <v>10.7</v>
      </c>
      <c r="FX138" s="115">
        <f>1+((FW138-MIN(performance_ratings_sums))*(4)/(MAX(performance_ratings_sums) - MIN(performance_ratings_sums)))</f>
        <v>2.495327103</v>
      </c>
      <c r="FY138" s="116" t="str">
        <f t="shared" si="49"/>
        <v>Pre-Revenue</v>
      </c>
      <c r="FZ138" s="126">
        <f t="shared" si="50"/>
        <v>0.2054794521</v>
      </c>
      <c r="GA138" s="112"/>
      <c r="GB138" s="127">
        <f t="shared" si="51"/>
        <v>1</v>
      </c>
      <c r="GC138" s="116" t="str">
        <f t="shared" si="52"/>
        <v>Yes</v>
      </c>
      <c r="GD138" s="126">
        <f t="shared" si="53"/>
        <v>0.2328767123</v>
      </c>
      <c r="GE138" s="126" t="str">
        <f t="shared" si="54"/>
        <v/>
      </c>
      <c r="GF138" s="126">
        <f t="shared" si="55"/>
        <v>0</v>
      </c>
      <c r="GG138" s="126" t="str">
        <f t="shared" si="56"/>
        <v/>
      </c>
      <c r="GH138" s="126">
        <f t="shared" si="57"/>
        <v>0</v>
      </c>
      <c r="GI138" s="112"/>
      <c r="GJ138" s="116"/>
      <c r="GK138" s="119">
        <f t="shared" si="58"/>
        <v>12.82675349</v>
      </c>
      <c r="GL138" s="128">
        <f>1+((GK138-MIN(ratings_sums))*(4)/(MAX(ratings_sums) - MIN(ratings_sums)))</f>
        <v>2.728356826</v>
      </c>
    </row>
    <row r="139" ht="15.75" customHeight="1">
      <c r="A139" s="161" t="s">
        <v>1128</v>
      </c>
      <c r="B139" s="15">
        <v>1772451.0</v>
      </c>
      <c r="C139" s="162" t="s">
        <v>1133</v>
      </c>
      <c r="D139" s="163">
        <v>43577.59097222222</v>
      </c>
      <c r="E139" s="15" t="s">
        <v>363</v>
      </c>
      <c r="F139" s="164" t="s">
        <v>1134</v>
      </c>
      <c r="G139" s="164" t="s">
        <v>1135</v>
      </c>
      <c r="H139" s="173">
        <v>43577.0</v>
      </c>
      <c r="I139" s="162" t="s">
        <v>1136</v>
      </c>
      <c r="J139" s="162" t="s">
        <v>1133</v>
      </c>
      <c r="K139" s="15" t="s">
        <v>524</v>
      </c>
      <c r="L139" s="15" t="s">
        <v>390</v>
      </c>
      <c r="M139" s="15" t="s">
        <v>31</v>
      </c>
      <c r="N139" s="15" t="s">
        <v>32</v>
      </c>
      <c r="O139" s="15" t="s">
        <v>35</v>
      </c>
      <c r="Q139" s="15" t="s">
        <v>34</v>
      </c>
      <c r="R139" s="166"/>
      <c r="S139" s="120"/>
      <c r="T139" s="69"/>
      <c r="U139" s="69">
        <v>977500.0</v>
      </c>
      <c r="V139" s="132">
        <v>0.0</v>
      </c>
      <c r="W139" s="96">
        <f t="shared" si="125"/>
        <v>977500</v>
      </c>
      <c r="X139" s="98">
        <f t="shared" si="126"/>
        <v>977500</v>
      </c>
      <c r="Y139" s="99" t="str">
        <f t="shared" si="127"/>
        <v>&lt; $1M</v>
      </c>
      <c r="Z139" s="15" t="s">
        <v>86</v>
      </c>
      <c r="AA139" s="15" t="s">
        <v>87</v>
      </c>
      <c r="AB139" s="15" t="s">
        <v>38</v>
      </c>
      <c r="AC139" s="15" t="s">
        <v>493</v>
      </c>
      <c r="AD139" s="15" t="s">
        <v>39</v>
      </c>
      <c r="AE139" s="15" t="s">
        <v>89</v>
      </c>
      <c r="AF139" s="15" t="s">
        <v>469</v>
      </c>
      <c r="AG139" s="69">
        <v>2.735E11</v>
      </c>
      <c r="AH139" s="97" t="str">
        <f t="shared" si="128"/>
        <v>$250B-$500B</v>
      </c>
      <c r="AI139" s="69">
        <v>3.0E10</v>
      </c>
      <c r="AJ139" s="97" t="str">
        <f t="shared" si="129"/>
        <v>$25B-$50B</v>
      </c>
      <c r="AK139" s="167">
        <v>0.09</v>
      </c>
      <c r="AL139" s="88" t="str">
        <f t="shared" si="130"/>
        <v>0%-10%</v>
      </c>
      <c r="AM139" s="32">
        <v>11.0</v>
      </c>
      <c r="AN139" s="15" t="s">
        <v>89</v>
      </c>
      <c r="AO139" s="15" t="s">
        <v>89</v>
      </c>
      <c r="AP139" s="15" t="s">
        <v>40</v>
      </c>
      <c r="AQ139" s="168"/>
      <c r="AR139" s="168"/>
      <c r="AS139" s="15" t="s">
        <v>493</v>
      </c>
      <c r="AT139" s="15" t="s">
        <v>469</v>
      </c>
      <c r="AU139" s="15" t="s">
        <v>469</v>
      </c>
      <c r="AV139" s="15" t="s">
        <v>469</v>
      </c>
      <c r="AW139" s="69">
        <v>0.0</v>
      </c>
      <c r="AX139" s="96" t="str">
        <f t="shared" si="131"/>
        <v>&lt; $10K</v>
      </c>
      <c r="AY139" s="69">
        <v>0.0</v>
      </c>
      <c r="AZ139" s="69">
        <v>0.0</v>
      </c>
      <c r="BA139" s="103" t="str">
        <f t="shared" si="132"/>
        <v>&lt; $10K</v>
      </c>
      <c r="BB139" s="103">
        <f t="shared" si="133"/>
        <v>1</v>
      </c>
      <c r="BC139" s="103" t="str">
        <f t="shared" si="134"/>
        <v>90% - 100%</v>
      </c>
      <c r="BD139" s="15" t="s">
        <v>41</v>
      </c>
      <c r="BF139" s="15" t="s">
        <v>469</v>
      </c>
      <c r="BG139" s="15">
        <v>0.0</v>
      </c>
      <c r="BH139" s="15">
        <v>1.0</v>
      </c>
      <c r="BI139" s="15" t="s">
        <v>493</v>
      </c>
      <c r="BJ139" s="15" t="s">
        <v>469</v>
      </c>
      <c r="BK139" s="15" t="s">
        <v>493</v>
      </c>
      <c r="BL139" s="15" t="s">
        <v>469</v>
      </c>
      <c r="BM139" s="15">
        <v>0.0</v>
      </c>
      <c r="BN139" s="15">
        <v>3.0</v>
      </c>
      <c r="BO139" s="15">
        <v>0.0</v>
      </c>
      <c r="BP139" s="15">
        <v>0.0</v>
      </c>
      <c r="BQ139" s="108"/>
      <c r="BR139" s="15">
        <v>1.0</v>
      </c>
      <c r="BS139" s="15">
        <v>0.0</v>
      </c>
      <c r="BT139" s="15">
        <v>0.0</v>
      </c>
      <c r="BU139" s="15">
        <v>42.0</v>
      </c>
      <c r="BV139" s="15" t="s">
        <v>469</v>
      </c>
      <c r="BW139" s="108"/>
      <c r="CC139" s="108"/>
      <c r="CI139" s="108"/>
      <c r="CO139" s="108"/>
      <c r="CU139" s="108"/>
      <c r="DA139" s="108"/>
      <c r="DG139" s="108"/>
      <c r="DM139" s="108"/>
      <c r="DS139" s="108"/>
      <c r="DT139" s="108"/>
      <c r="DU139" s="108"/>
      <c r="DW139" s="109"/>
      <c r="DX139" s="110">
        <f t="shared" si="13"/>
        <v>1</v>
      </c>
      <c r="DY139" s="111">
        <f t="shared" ref="DY139:DZ139" si="337">sum(BS139,BY139,CE139,CK139,CQ139,CW139,DC139,DI139,DO139)</f>
        <v>0</v>
      </c>
      <c r="DZ139" s="111">
        <f t="shared" si="337"/>
        <v>0</v>
      </c>
      <c r="EA139" s="110">
        <f t="shared" si="15"/>
        <v>42</v>
      </c>
      <c r="EB139" s="99" t="str">
        <f t="shared" si="16"/>
        <v>35 - 54</v>
      </c>
      <c r="EC139" s="112"/>
      <c r="ED139" s="113">
        <f t="shared" si="17"/>
        <v>5</v>
      </c>
      <c r="EE139" s="114">
        <f>IF(V139 &lt;&gt; "", 1+((V139-MIN(discount_rates))*(4)/(MAX(discount_rates) - MIN(discount_rates))), "")</f>
        <v>1</v>
      </c>
      <c r="EF139" s="114" t="str">
        <f>IF(Q139="Debt", (1+((S139-MIN(interest_rates))*(4)/(MAX(interest_rates) - MIN(interest_rates)))), "")</f>
        <v/>
      </c>
      <c r="EG139" s="114" t="str">
        <f>IF(OR(Q139="Revenue Share", Q139="Profit Share"), (1+((R139-MIN(return_mutiples))*(4)/(MAX(return_mutiples) - MIN(return_mutiples)))), "")</f>
        <v/>
      </c>
      <c r="EH139" s="115">
        <f t="shared" si="18"/>
        <v>5</v>
      </c>
      <c r="EI139" s="116" t="str">
        <f t="shared" si="19"/>
        <v>CAFES</v>
      </c>
      <c r="EJ139" s="117">
        <f t="shared" si="20"/>
        <v>0.1232876712</v>
      </c>
      <c r="EK139" s="116" t="str">
        <f t="shared" si="21"/>
        <v>Early</v>
      </c>
      <c r="EL139" s="112"/>
      <c r="EM139" s="118">
        <f t="shared" si="22"/>
        <v>3.6</v>
      </c>
      <c r="EN139" s="118">
        <f t="shared" si="23"/>
        <v>1.7</v>
      </c>
      <c r="EO139" s="119">
        <f t="shared" si="24"/>
        <v>5.3</v>
      </c>
      <c r="EP139" s="115">
        <f>1+((EO139-MIN(market_ratings_sums))*(4)/(MAX(market_ratings_sums) - MIN(market_ratings_sums)))</f>
        <v>2.824561404</v>
      </c>
      <c r="EQ139" s="116" t="str">
        <f t="shared" si="25"/>
        <v>Yes</v>
      </c>
      <c r="ER139" s="112"/>
      <c r="ES139" s="123">
        <f>1+((DX139-MIN(industry_experiences))*(4)/(MAX(industry_experiences) - MIN(industry_experiences)))</f>
        <v>1.095238095</v>
      </c>
      <c r="ET139" s="123">
        <f>1+((DY139-MIN(previous_startups))*(4)/(MAX(previous_startups) - MIN(previous_startups)))</f>
        <v>1</v>
      </c>
      <c r="EU139" s="123">
        <f>1+((DZ139-MIN(exits))*(4)/(MAX(exits) - MIN(exits)))</f>
        <v>1</v>
      </c>
      <c r="EV139" s="119">
        <f t="shared" si="26"/>
        <v>3.095238095</v>
      </c>
      <c r="EW139" s="124">
        <f>1+((EV139-MIN(team_ratings_sums))*(4)/(MAX(team_ratings_sums) - MIN(team_ratings_sums)))</f>
        <v>1.052173913</v>
      </c>
      <c r="EX139" s="116" t="str">
        <f t="shared" si="27"/>
        <v>35 - 54</v>
      </c>
      <c r="EY139" s="125">
        <f t="shared" si="28"/>
        <v>0.6849315068</v>
      </c>
      <c r="EZ139" s="116">
        <f t="shared" si="29"/>
        <v>1</v>
      </c>
      <c r="FA139" s="125">
        <f t="shared" si="30"/>
        <v>0.4383561644</v>
      </c>
      <c r="FB139" s="116">
        <f t="shared" si="31"/>
        <v>3</v>
      </c>
      <c r="FC139" s="125">
        <f t="shared" si="32"/>
        <v>0.08219178082</v>
      </c>
      <c r="FD139" s="116" t="str">
        <f t="shared" si="33"/>
        <v>Yes</v>
      </c>
      <c r="FE139" s="125">
        <f t="shared" si="34"/>
        <v>0.2465753425</v>
      </c>
      <c r="FF139" s="116" t="str">
        <f t="shared" ref="FF139:FH139" si="338">BJ139</f>
        <v>No</v>
      </c>
      <c r="FG139" s="116" t="str">
        <f t="shared" si="338"/>
        <v>Yes</v>
      </c>
      <c r="FH139" s="116" t="str">
        <f t="shared" si="338"/>
        <v>No</v>
      </c>
      <c r="FI139" s="112"/>
      <c r="FJ139" s="116" t="str">
        <f t="shared" si="36"/>
        <v>Recurring</v>
      </c>
      <c r="FK139" s="125">
        <f t="shared" si="37"/>
        <v>0.397260274</v>
      </c>
      <c r="FL139" s="116" t="str">
        <f t="shared" si="38"/>
        <v>B2C</v>
      </c>
      <c r="FM139" s="125">
        <f t="shared" si="39"/>
        <v>0.397260274</v>
      </c>
      <c r="FN139" s="116" t="str">
        <f t="shared" si="40"/>
        <v>High</v>
      </c>
      <c r="FO139" s="125">
        <f t="shared" si="41"/>
        <v>0.5616438356</v>
      </c>
      <c r="FP139" s="116" t="str">
        <f t="shared" si="42"/>
        <v>Low</v>
      </c>
      <c r="FQ139" s="125">
        <f t="shared" si="43"/>
        <v>0.3561643836</v>
      </c>
      <c r="FR139" s="112"/>
      <c r="FS139" s="123">
        <f t="shared" si="44"/>
        <v>1</v>
      </c>
      <c r="FT139" s="123">
        <f t="shared" si="45"/>
        <v>1</v>
      </c>
      <c r="FU139" s="123">
        <f t="shared" si="46"/>
        <v>1</v>
      </c>
      <c r="FV139" s="123">
        <f t="shared" si="47"/>
        <v>5</v>
      </c>
      <c r="FW139" s="119">
        <f t="shared" si="48"/>
        <v>8</v>
      </c>
      <c r="FX139" s="115">
        <f>1+((FW139-MIN(performance_ratings_sums))*(4)/(MAX(performance_ratings_sums) - MIN(performance_ratings_sums)))</f>
        <v>1.485981308</v>
      </c>
      <c r="FY139" s="116" t="str">
        <f t="shared" si="49"/>
        <v>Pre-Product</v>
      </c>
      <c r="FZ139" s="126">
        <f t="shared" si="50"/>
        <v>0.2328767123</v>
      </c>
      <c r="GA139" s="112"/>
      <c r="GB139" s="127">
        <f t="shared" si="51"/>
        <v>1</v>
      </c>
      <c r="GC139" s="116" t="str">
        <f t="shared" si="52"/>
        <v>No</v>
      </c>
      <c r="GD139" s="126">
        <f t="shared" si="53"/>
        <v>0.7671232877</v>
      </c>
      <c r="GE139" s="126" t="str">
        <f t="shared" si="54"/>
        <v/>
      </c>
      <c r="GF139" s="126">
        <f t="shared" si="55"/>
        <v>0</v>
      </c>
      <c r="GG139" s="126" t="str">
        <f t="shared" si="56"/>
        <v/>
      </c>
      <c r="GH139" s="126">
        <f t="shared" si="57"/>
        <v>0</v>
      </c>
      <c r="GI139" s="112"/>
      <c r="GJ139" s="116"/>
      <c r="GK139" s="119">
        <f t="shared" si="58"/>
        <v>11.36271662</v>
      </c>
      <c r="GL139" s="128">
        <f>1+((GK139-MIN(ratings_sums))*(4)/(MAX(ratings_sums) - MIN(ratings_sums)))</f>
        <v>2.2791318</v>
      </c>
    </row>
    <row r="140" ht="15.75" customHeight="1">
      <c r="A140" s="161" t="s">
        <v>1128</v>
      </c>
      <c r="B140" s="15">
        <v>1767762.0</v>
      </c>
      <c r="C140" s="162" t="s">
        <v>1137</v>
      </c>
      <c r="D140" s="163">
        <v>43586.39791666667</v>
      </c>
      <c r="E140" s="15" t="s">
        <v>369</v>
      </c>
      <c r="F140" s="164" t="s">
        <v>1138</v>
      </c>
      <c r="G140" s="164" t="s">
        <v>1139</v>
      </c>
      <c r="H140" s="173">
        <v>43822.0</v>
      </c>
      <c r="I140" s="162" t="s">
        <v>1140</v>
      </c>
      <c r="J140" s="162" t="s">
        <v>1137</v>
      </c>
      <c r="K140" s="15" t="s">
        <v>487</v>
      </c>
      <c r="L140" s="15" t="s">
        <v>30</v>
      </c>
      <c r="M140" s="15" t="s">
        <v>31</v>
      </c>
      <c r="N140" s="15" t="s">
        <v>82</v>
      </c>
      <c r="O140" s="15" t="s">
        <v>35</v>
      </c>
      <c r="Q140" s="15" t="s">
        <v>195</v>
      </c>
      <c r="R140" s="166"/>
      <c r="S140" s="120"/>
      <c r="T140" s="69"/>
      <c r="U140" s="69">
        <v>5000000.0</v>
      </c>
      <c r="V140" s="132">
        <v>0.2</v>
      </c>
      <c r="W140" s="96">
        <f t="shared" si="125"/>
        <v>4000000</v>
      </c>
      <c r="X140" s="98">
        <f t="shared" si="126"/>
        <v>4000000</v>
      </c>
      <c r="Y140" s="99" t="str">
        <f t="shared" si="127"/>
        <v>$2M - $4M</v>
      </c>
      <c r="Z140" s="15" t="s">
        <v>86</v>
      </c>
      <c r="AA140" s="15" t="s">
        <v>87</v>
      </c>
      <c r="AB140" s="15" t="s">
        <v>88</v>
      </c>
      <c r="AC140" s="15" t="s">
        <v>493</v>
      </c>
      <c r="AD140" s="15" t="s">
        <v>39</v>
      </c>
      <c r="AE140" s="15" t="s">
        <v>89</v>
      </c>
      <c r="AF140" s="15" t="s">
        <v>493</v>
      </c>
      <c r="AG140" s="69">
        <v>6.5E9</v>
      </c>
      <c r="AH140" s="97" t="str">
        <f t="shared" si="128"/>
        <v>$5B-$10B</v>
      </c>
      <c r="AI140" s="69">
        <v>6.5E9</v>
      </c>
      <c r="AJ140" s="97" t="str">
        <f t="shared" si="129"/>
        <v>$5B-$10B</v>
      </c>
      <c r="AK140" s="167">
        <v>0.32</v>
      </c>
      <c r="AL140" s="88" t="str">
        <f t="shared" si="130"/>
        <v>30%-40%</v>
      </c>
      <c r="AM140" s="15">
        <v>740.0</v>
      </c>
      <c r="AN140" s="15" t="s">
        <v>89</v>
      </c>
      <c r="AO140" s="15" t="s">
        <v>89</v>
      </c>
      <c r="AP140" s="15" t="s">
        <v>40</v>
      </c>
      <c r="AQ140" s="168"/>
      <c r="AR140" s="168"/>
      <c r="AS140" s="15" t="s">
        <v>469</v>
      </c>
      <c r="AT140" s="15" t="s">
        <v>469</v>
      </c>
      <c r="AU140" s="15" t="s">
        <v>493</v>
      </c>
      <c r="AV140" s="15" t="s">
        <v>493</v>
      </c>
      <c r="AW140" s="69">
        <v>0.0</v>
      </c>
      <c r="AX140" s="96" t="str">
        <f t="shared" si="131"/>
        <v>&lt; $10K</v>
      </c>
      <c r="AY140" s="69">
        <v>1057.0</v>
      </c>
      <c r="AZ140" s="69">
        <v>1200000.0</v>
      </c>
      <c r="BA140" s="103" t="str">
        <f t="shared" si="132"/>
        <v>$1M - $2M</v>
      </c>
      <c r="BB140" s="103">
        <f t="shared" si="133"/>
        <v>0.0008808333333</v>
      </c>
      <c r="BC140" s="103" t="str">
        <f t="shared" si="134"/>
        <v>&lt; 10%</v>
      </c>
      <c r="BD140" s="15" t="s">
        <v>107</v>
      </c>
      <c r="BF140" s="15" t="s">
        <v>493</v>
      </c>
      <c r="BG140" s="15">
        <v>1.0</v>
      </c>
      <c r="BH140" s="15">
        <v>2.0</v>
      </c>
      <c r="BI140" s="15" t="s">
        <v>493</v>
      </c>
      <c r="BJ140" s="15" t="s">
        <v>469</v>
      </c>
      <c r="BK140" s="15" t="s">
        <v>493</v>
      </c>
      <c r="BL140" s="15" t="s">
        <v>469</v>
      </c>
      <c r="BM140" s="15">
        <v>3.0</v>
      </c>
      <c r="BN140" s="15">
        <v>24.0</v>
      </c>
      <c r="BO140" s="15">
        <v>3.0</v>
      </c>
      <c r="BP140" s="15">
        <v>0.0</v>
      </c>
      <c r="BQ140" s="108"/>
      <c r="BR140" s="15">
        <v>2.0</v>
      </c>
      <c r="BS140" s="15">
        <v>0.0</v>
      </c>
      <c r="BT140" s="15">
        <v>0.0</v>
      </c>
      <c r="BU140" s="15">
        <v>34.0</v>
      </c>
      <c r="BV140" s="15" t="s">
        <v>493</v>
      </c>
      <c r="BW140" s="108"/>
      <c r="BX140" s="15">
        <v>4.0</v>
      </c>
      <c r="BY140" s="15">
        <v>0.0</v>
      </c>
      <c r="BZ140" s="15">
        <v>0.0</v>
      </c>
      <c r="CA140" s="15">
        <v>30.0</v>
      </c>
      <c r="CB140" s="15" t="s">
        <v>493</v>
      </c>
      <c r="CC140" s="108"/>
      <c r="CI140" s="108"/>
      <c r="CO140" s="108"/>
      <c r="CU140" s="108"/>
      <c r="DA140" s="108"/>
      <c r="DG140" s="108"/>
      <c r="DM140" s="108"/>
      <c r="DS140" s="108"/>
      <c r="DT140" s="108"/>
      <c r="DU140" s="108"/>
      <c r="DW140" s="109"/>
      <c r="DX140" s="110">
        <f t="shared" si="13"/>
        <v>3</v>
      </c>
      <c r="DY140" s="111">
        <f t="shared" ref="DY140:DZ140" si="339">sum(BS140,BY140,CE140,CK140,CQ140,CW140,DC140,DI140,DO140)</f>
        <v>0</v>
      </c>
      <c r="DZ140" s="111">
        <f t="shared" si="339"/>
        <v>0</v>
      </c>
      <c r="EA140" s="110">
        <f t="shared" si="15"/>
        <v>32</v>
      </c>
      <c r="EB140" s="99" t="str">
        <f t="shared" si="16"/>
        <v>20 - 34</v>
      </c>
      <c r="EC140" s="112"/>
      <c r="ED140" s="113">
        <f t="shared" si="17"/>
        <v>4.6</v>
      </c>
      <c r="EE140" s="114">
        <f>IF(V140 &lt;&gt; "", 1+((V140-MIN(discount_rates))*(4)/(MAX(discount_rates) - MIN(discount_rates))), "")</f>
        <v>3.105263158</v>
      </c>
      <c r="EF140" s="114" t="str">
        <f>IF(Q140="Debt", (1+((S140-MIN(interest_rates))*(4)/(MAX(interest_rates) - MIN(interest_rates)))), "")</f>
        <v/>
      </c>
      <c r="EG140" s="114" t="str">
        <f>IF(OR(Q140="Revenue Share", Q140="Profit Share"), (1+((R140-MIN(return_mutiples))*(4)/(MAX(return_mutiples) - MIN(return_mutiples)))), "")</f>
        <v/>
      </c>
      <c r="EH140" s="115">
        <f t="shared" si="18"/>
        <v>4.6</v>
      </c>
      <c r="EI140" s="116" t="str">
        <f t="shared" si="19"/>
        <v>SAFE</v>
      </c>
      <c r="EJ140" s="117">
        <f t="shared" si="20"/>
        <v>0.3561643836</v>
      </c>
      <c r="EK140" s="116" t="str">
        <f t="shared" si="21"/>
        <v>Early</v>
      </c>
      <c r="EL140" s="112"/>
      <c r="EM140" s="118">
        <f t="shared" si="22"/>
        <v>3</v>
      </c>
      <c r="EN140" s="118">
        <f t="shared" si="23"/>
        <v>3.7</v>
      </c>
      <c r="EO140" s="119">
        <f t="shared" si="24"/>
        <v>6.7</v>
      </c>
      <c r="EP140" s="115">
        <f>1+((EO140-MIN(market_ratings_sums))*(4)/(MAX(market_ratings_sums) - MIN(market_ratings_sums)))</f>
        <v>3.807017544</v>
      </c>
      <c r="EQ140" s="116" t="str">
        <f t="shared" si="25"/>
        <v>No</v>
      </c>
      <c r="ER140" s="112"/>
      <c r="ES140" s="123">
        <f>1+((DX140-MIN(industry_experiences))*(4)/(MAX(industry_experiences) - MIN(industry_experiences)))</f>
        <v>1.285714286</v>
      </c>
      <c r="ET140" s="123">
        <f>1+((DY140-MIN(previous_startups))*(4)/(MAX(previous_startups) - MIN(previous_startups)))</f>
        <v>1</v>
      </c>
      <c r="EU140" s="123">
        <f>1+((DZ140-MIN(exits))*(4)/(MAX(exits) - MIN(exits)))</f>
        <v>1</v>
      </c>
      <c r="EV140" s="119">
        <f t="shared" si="26"/>
        <v>3.285714286</v>
      </c>
      <c r="EW140" s="124">
        <f>1+((EV140-MIN(team_ratings_sums))*(4)/(MAX(team_ratings_sums) - MIN(team_ratings_sums)))</f>
        <v>1.156521739</v>
      </c>
      <c r="EX140" s="116" t="str">
        <f t="shared" si="27"/>
        <v>20 - 34</v>
      </c>
      <c r="EY140" s="125">
        <f t="shared" si="28"/>
        <v>0.2054794521</v>
      </c>
      <c r="EZ140" s="116">
        <f t="shared" si="29"/>
        <v>2</v>
      </c>
      <c r="FA140" s="125">
        <f t="shared" si="30"/>
        <v>0.4520547945</v>
      </c>
      <c r="FB140" s="116">
        <f t="shared" si="31"/>
        <v>24</v>
      </c>
      <c r="FC140" s="125">
        <f t="shared" si="32"/>
        <v>0</v>
      </c>
      <c r="FD140" s="116" t="str">
        <f t="shared" si="33"/>
        <v>Yes</v>
      </c>
      <c r="FE140" s="125">
        <f t="shared" si="34"/>
        <v>0.2465753425</v>
      </c>
      <c r="FF140" s="116" t="str">
        <f t="shared" ref="FF140:FH140" si="340">BJ140</f>
        <v>No</v>
      </c>
      <c r="FG140" s="116" t="str">
        <f t="shared" si="340"/>
        <v>Yes</v>
      </c>
      <c r="FH140" s="116" t="str">
        <f t="shared" si="340"/>
        <v>No</v>
      </c>
      <c r="FI140" s="112"/>
      <c r="FJ140" s="116" t="str">
        <f t="shared" si="36"/>
        <v>Recurring</v>
      </c>
      <c r="FK140" s="125">
        <f t="shared" si="37"/>
        <v>0.397260274</v>
      </c>
      <c r="FL140" s="116" t="str">
        <f t="shared" si="38"/>
        <v>B2C</v>
      </c>
      <c r="FM140" s="125">
        <f t="shared" si="39"/>
        <v>0.397260274</v>
      </c>
      <c r="FN140" s="116" t="str">
        <f t="shared" si="40"/>
        <v>High</v>
      </c>
      <c r="FO140" s="125">
        <f t="shared" si="41"/>
        <v>0.5616438356</v>
      </c>
      <c r="FP140" s="116" t="str">
        <f t="shared" si="42"/>
        <v>Low</v>
      </c>
      <c r="FQ140" s="125">
        <f t="shared" si="43"/>
        <v>0.3561643836</v>
      </c>
      <c r="FR140" s="112"/>
      <c r="FS140" s="123">
        <f t="shared" si="44"/>
        <v>5</v>
      </c>
      <c r="FT140" s="123">
        <f t="shared" si="45"/>
        <v>1</v>
      </c>
      <c r="FU140" s="123">
        <f t="shared" si="46"/>
        <v>5</v>
      </c>
      <c r="FV140" s="123">
        <f t="shared" si="47"/>
        <v>2.8</v>
      </c>
      <c r="FW140" s="119">
        <f t="shared" si="48"/>
        <v>13.8</v>
      </c>
      <c r="FX140" s="115">
        <f>1+((FW140-MIN(performance_ratings_sums))*(4)/(MAX(performance_ratings_sums) - MIN(performance_ratings_sums)))</f>
        <v>3.654205607</v>
      </c>
      <c r="FY140" s="116" t="str">
        <f t="shared" si="49"/>
        <v>Pre-Profit</v>
      </c>
      <c r="FZ140" s="126">
        <f t="shared" si="50"/>
        <v>0.4931506849</v>
      </c>
      <c r="GA140" s="112"/>
      <c r="GB140" s="127">
        <f t="shared" si="51"/>
        <v>1</v>
      </c>
      <c r="GC140" s="116" t="str">
        <f t="shared" si="52"/>
        <v>No</v>
      </c>
      <c r="GD140" s="126">
        <f t="shared" si="53"/>
        <v>0.7671232877</v>
      </c>
      <c r="GE140" s="126" t="str">
        <f t="shared" si="54"/>
        <v/>
      </c>
      <c r="GF140" s="126">
        <f t="shared" si="55"/>
        <v>0</v>
      </c>
      <c r="GG140" s="126" t="str">
        <f t="shared" si="56"/>
        <v/>
      </c>
      <c r="GH140" s="126">
        <f t="shared" si="57"/>
        <v>0</v>
      </c>
      <c r="GI140" s="112"/>
      <c r="GJ140" s="116"/>
      <c r="GK140" s="119">
        <f t="shared" si="58"/>
        <v>14.21774489</v>
      </c>
      <c r="GL140" s="128">
        <f>1+((GK140-MIN(ratings_sums))*(4)/(MAX(ratings_sums) - MIN(ratings_sums)))</f>
        <v>3.15516858</v>
      </c>
    </row>
    <row r="141" ht="15.75" customHeight="1">
      <c r="A141" s="161" t="s">
        <v>1128</v>
      </c>
      <c r="B141" s="15">
        <v>1773714.0</v>
      </c>
      <c r="C141" s="162" t="s">
        <v>1141</v>
      </c>
      <c r="D141" s="163">
        <v>43586.436111111114</v>
      </c>
      <c r="E141" s="15" t="s">
        <v>198</v>
      </c>
      <c r="F141" s="164" t="s">
        <v>1142</v>
      </c>
      <c r="G141" s="164" t="s">
        <v>1143</v>
      </c>
      <c r="H141" s="173">
        <v>43882.0</v>
      </c>
      <c r="I141" s="162" t="s">
        <v>1144</v>
      </c>
      <c r="J141" s="162" t="s">
        <v>1145</v>
      </c>
      <c r="K141" s="15" t="s">
        <v>354</v>
      </c>
      <c r="L141" s="15" t="s">
        <v>133</v>
      </c>
      <c r="M141" s="15" t="s">
        <v>81</v>
      </c>
      <c r="N141" s="15" t="s">
        <v>119</v>
      </c>
      <c r="O141" s="15" t="s">
        <v>35</v>
      </c>
      <c r="Q141" s="15" t="s">
        <v>135</v>
      </c>
      <c r="R141" s="166"/>
      <c r="S141" s="120"/>
      <c r="T141" s="69">
        <v>4054000.0</v>
      </c>
      <c r="U141" s="69"/>
      <c r="V141" s="132"/>
      <c r="W141" s="96" t="str">
        <f t="shared" si="125"/>
        <v/>
      </c>
      <c r="X141" s="98">
        <f t="shared" si="126"/>
        <v>4054000</v>
      </c>
      <c r="Y141" s="99" t="str">
        <f t="shared" si="127"/>
        <v>$4M - $6M</v>
      </c>
      <c r="Z141" s="15" t="s">
        <v>86</v>
      </c>
      <c r="AA141" s="15" t="s">
        <v>123</v>
      </c>
      <c r="AB141" s="15" t="s">
        <v>88</v>
      </c>
      <c r="AC141" s="15" t="s">
        <v>493</v>
      </c>
      <c r="AD141" s="15" t="s">
        <v>39</v>
      </c>
      <c r="AE141" s="15" t="s">
        <v>89</v>
      </c>
      <c r="AF141" s="15" t="s">
        <v>469</v>
      </c>
      <c r="AG141" s="69">
        <v>2.0E11</v>
      </c>
      <c r="AH141" s="97" t="str">
        <f t="shared" si="128"/>
        <v>$100B-$250B</v>
      </c>
      <c r="AI141" s="69">
        <v>2.0E11</v>
      </c>
      <c r="AJ141" s="97" t="str">
        <f t="shared" si="129"/>
        <v>$100B-$250B</v>
      </c>
      <c r="AK141" s="167">
        <v>0.13</v>
      </c>
      <c r="AL141" s="88" t="str">
        <f t="shared" si="130"/>
        <v>10%-20%</v>
      </c>
      <c r="AM141" s="15">
        <v>16.0</v>
      </c>
      <c r="AN141" s="15" t="s">
        <v>89</v>
      </c>
      <c r="AO141" s="15" t="s">
        <v>89</v>
      </c>
      <c r="AP141" s="15" t="s">
        <v>40</v>
      </c>
      <c r="AQ141" s="168"/>
      <c r="AR141" s="168"/>
      <c r="AS141" s="15" t="s">
        <v>469</v>
      </c>
      <c r="AT141" s="15" t="s">
        <v>469</v>
      </c>
      <c r="AU141" s="15" t="s">
        <v>493</v>
      </c>
      <c r="AV141" s="15" t="s">
        <v>493</v>
      </c>
      <c r="AW141" s="69">
        <v>0.0</v>
      </c>
      <c r="AX141" s="96" t="str">
        <f t="shared" si="131"/>
        <v>&lt; $10K</v>
      </c>
      <c r="AY141" s="69">
        <v>83.0</v>
      </c>
      <c r="AZ141" s="69">
        <v>3005000.0</v>
      </c>
      <c r="BA141" s="103" t="str">
        <f t="shared" si="132"/>
        <v>$3M - $4M</v>
      </c>
      <c r="BB141" s="103">
        <f t="shared" si="133"/>
        <v>0.00002762063228</v>
      </c>
      <c r="BC141" s="103" t="str">
        <f t="shared" si="134"/>
        <v>&lt; 10%</v>
      </c>
      <c r="BD141" s="15" t="s">
        <v>91</v>
      </c>
      <c r="BF141" s="15" t="s">
        <v>493</v>
      </c>
      <c r="BG141" s="15">
        <v>1.0</v>
      </c>
      <c r="BH141" s="15">
        <v>2.0</v>
      </c>
      <c r="BI141" s="15" t="s">
        <v>493</v>
      </c>
      <c r="BJ141" s="15" t="s">
        <v>469</v>
      </c>
      <c r="BK141" s="15" t="s">
        <v>493</v>
      </c>
      <c r="BL141" s="15" t="s">
        <v>469</v>
      </c>
      <c r="BM141" s="15">
        <v>1.0</v>
      </c>
      <c r="BN141" s="15">
        <v>29.0</v>
      </c>
      <c r="BO141" s="15">
        <v>0.0</v>
      </c>
      <c r="BP141" s="15">
        <v>0.0</v>
      </c>
      <c r="BQ141" s="108"/>
      <c r="BR141" s="15">
        <v>10.0</v>
      </c>
      <c r="BS141" s="15">
        <v>0.0</v>
      </c>
      <c r="BT141" s="15">
        <v>0.0</v>
      </c>
      <c r="BU141" s="15">
        <v>42.0</v>
      </c>
      <c r="BV141" s="15" t="s">
        <v>469</v>
      </c>
      <c r="BW141" s="108"/>
      <c r="BX141" s="15">
        <v>3.0</v>
      </c>
      <c r="BY141" s="15">
        <v>0.0</v>
      </c>
      <c r="BZ141" s="15">
        <v>0.0</v>
      </c>
      <c r="CB141" s="15" t="s">
        <v>469</v>
      </c>
      <c r="CC141" s="108"/>
      <c r="CI141" s="108"/>
      <c r="CO141" s="108"/>
      <c r="CU141" s="108"/>
      <c r="DA141" s="108"/>
      <c r="DG141" s="108"/>
      <c r="DM141" s="108"/>
      <c r="DS141" s="108"/>
      <c r="DT141" s="108"/>
      <c r="DU141" s="108"/>
      <c r="DW141" s="109"/>
      <c r="DX141" s="110">
        <f t="shared" si="13"/>
        <v>6.5</v>
      </c>
      <c r="DY141" s="111">
        <f t="shared" ref="DY141:DZ141" si="341">sum(BS141,BY141,CE141,CK141,CQ141,CW141,DC141,DI141,DO141)</f>
        <v>0</v>
      </c>
      <c r="DZ141" s="111">
        <f t="shared" si="341"/>
        <v>0</v>
      </c>
      <c r="EA141" s="110">
        <f t="shared" si="15"/>
        <v>42</v>
      </c>
      <c r="EB141" s="99" t="str">
        <f t="shared" si="16"/>
        <v>35 - 54</v>
      </c>
      <c r="EC141" s="112"/>
      <c r="ED141" s="113">
        <f t="shared" si="17"/>
        <v>4.4</v>
      </c>
      <c r="EE141" s="114" t="str">
        <f>IF(V141 &lt;&gt; "", 1+((V141-MIN(discount_rates))*(4)/(MAX(discount_rates) - MIN(discount_rates))), "")</f>
        <v/>
      </c>
      <c r="EF141" s="114" t="str">
        <f>IF(Q141="Debt", (1+((S141-MIN(interest_rates))*(4)/(MAX(interest_rates) - MIN(interest_rates)))), "")</f>
        <v/>
      </c>
      <c r="EG141" s="114" t="str">
        <f>IF(OR(Q141="Revenue Share", Q141="Profit Share"), (1+((R141-MIN(return_mutiples))*(4)/(MAX(return_mutiples) - MIN(return_mutiples)))), "")</f>
        <v/>
      </c>
      <c r="EH141" s="115">
        <f t="shared" si="18"/>
        <v>4.4</v>
      </c>
      <c r="EI141" s="116" t="str">
        <f t="shared" si="19"/>
        <v>Equity - Preferred</v>
      </c>
      <c r="EJ141" s="117">
        <f t="shared" si="20"/>
        <v>0.06849315068</v>
      </c>
      <c r="EK141" s="116" t="str">
        <f t="shared" si="21"/>
        <v>Growth</v>
      </c>
      <c r="EL141" s="112"/>
      <c r="EM141" s="118">
        <f t="shared" si="22"/>
        <v>4.1</v>
      </c>
      <c r="EN141" s="118">
        <f t="shared" si="23"/>
        <v>2.3</v>
      </c>
      <c r="EO141" s="119">
        <f t="shared" si="24"/>
        <v>6.4</v>
      </c>
      <c r="EP141" s="115">
        <f>1+((EO141-MIN(market_ratings_sums))*(4)/(MAX(market_ratings_sums) - MIN(market_ratings_sums)))</f>
        <v>3.596491228</v>
      </c>
      <c r="EQ141" s="116" t="str">
        <f t="shared" si="25"/>
        <v>No</v>
      </c>
      <c r="ER141" s="112"/>
      <c r="ES141" s="123">
        <f>1+((DX141-MIN(industry_experiences))*(4)/(MAX(industry_experiences) - MIN(industry_experiences)))</f>
        <v>1.619047619</v>
      </c>
      <c r="ET141" s="123">
        <f>1+((DY141-MIN(previous_startups))*(4)/(MAX(previous_startups) - MIN(previous_startups)))</f>
        <v>1</v>
      </c>
      <c r="EU141" s="123">
        <f>1+((DZ141-MIN(exits))*(4)/(MAX(exits) - MIN(exits)))</f>
        <v>1</v>
      </c>
      <c r="EV141" s="119">
        <f t="shared" si="26"/>
        <v>3.619047619</v>
      </c>
      <c r="EW141" s="124">
        <f>1+((EV141-MIN(team_ratings_sums))*(4)/(MAX(team_ratings_sums) - MIN(team_ratings_sums)))</f>
        <v>1.339130435</v>
      </c>
      <c r="EX141" s="116" t="str">
        <f t="shared" si="27"/>
        <v>35 - 54</v>
      </c>
      <c r="EY141" s="125">
        <f t="shared" si="28"/>
        <v>0.6849315068</v>
      </c>
      <c r="EZ141" s="116">
        <f t="shared" si="29"/>
        <v>2</v>
      </c>
      <c r="FA141" s="125">
        <f t="shared" si="30"/>
        <v>0.4520547945</v>
      </c>
      <c r="FB141" s="116">
        <f t="shared" si="31"/>
        <v>29</v>
      </c>
      <c r="FC141" s="125">
        <f t="shared" si="32"/>
        <v>0.01369863014</v>
      </c>
      <c r="FD141" s="116" t="str">
        <f t="shared" si="33"/>
        <v>Yes</v>
      </c>
      <c r="FE141" s="125">
        <f t="shared" si="34"/>
        <v>0.2465753425</v>
      </c>
      <c r="FF141" s="116" t="str">
        <f t="shared" ref="FF141:FH141" si="342">BJ141</f>
        <v>No</v>
      </c>
      <c r="FG141" s="116" t="str">
        <f t="shared" si="342"/>
        <v>Yes</v>
      </c>
      <c r="FH141" s="116" t="str">
        <f t="shared" si="342"/>
        <v>No</v>
      </c>
      <c r="FI141" s="112"/>
      <c r="FJ141" s="116" t="str">
        <f t="shared" si="36"/>
        <v>Recurring</v>
      </c>
      <c r="FK141" s="125">
        <f t="shared" si="37"/>
        <v>0.397260274</v>
      </c>
      <c r="FL141" s="116" t="str">
        <f t="shared" si="38"/>
        <v>B2B/B2C</v>
      </c>
      <c r="FM141" s="125">
        <f t="shared" si="39"/>
        <v>0.3287671233</v>
      </c>
      <c r="FN141" s="116" t="str">
        <f t="shared" si="40"/>
        <v>High</v>
      </c>
      <c r="FO141" s="125">
        <f t="shared" si="41"/>
        <v>0.5616438356</v>
      </c>
      <c r="FP141" s="116" t="str">
        <f t="shared" si="42"/>
        <v>Low</v>
      </c>
      <c r="FQ141" s="125">
        <f t="shared" si="43"/>
        <v>0.3561643836</v>
      </c>
      <c r="FR141" s="112"/>
      <c r="FS141" s="123">
        <f t="shared" si="44"/>
        <v>5</v>
      </c>
      <c r="FT141" s="123">
        <f t="shared" si="45"/>
        <v>1</v>
      </c>
      <c r="FU141" s="123">
        <f t="shared" si="46"/>
        <v>5</v>
      </c>
      <c r="FV141" s="123">
        <f t="shared" si="47"/>
        <v>1.9</v>
      </c>
      <c r="FW141" s="119">
        <f t="shared" si="48"/>
        <v>12.9</v>
      </c>
      <c r="FX141" s="115">
        <f>1+((FW141-MIN(performance_ratings_sums))*(4)/(MAX(performance_ratings_sums) - MIN(performance_ratings_sums)))</f>
        <v>3.317757009</v>
      </c>
      <c r="FY141" s="116" t="str">
        <f t="shared" si="49"/>
        <v>Pre-Revenue</v>
      </c>
      <c r="FZ141" s="126">
        <f t="shared" si="50"/>
        <v>0.2054794521</v>
      </c>
      <c r="GA141" s="112"/>
      <c r="GB141" s="127">
        <f t="shared" si="51"/>
        <v>1</v>
      </c>
      <c r="GC141" s="116" t="str">
        <f t="shared" si="52"/>
        <v>No</v>
      </c>
      <c r="GD141" s="126">
        <f t="shared" si="53"/>
        <v>0.7671232877</v>
      </c>
      <c r="GE141" s="126" t="str">
        <f t="shared" si="54"/>
        <v/>
      </c>
      <c r="GF141" s="126">
        <f t="shared" si="55"/>
        <v>0</v>
      </c>
      <c r="GG141" s="126" t="str">
        <f t="shared" si="56"/>
        <v/>
      </c>
      <c r="GH141" s="126">
        <f t="shared" si="57"/>
        <v>0</v>
      </c>
      <c r="GI141" s="112"/>
      <c r="GJ141" s="116"/>
      <c r="GK141" s="119">
        <f t="shared" si="58"/>
        <v>13.65337867</v>
      </c>
      <c r="GL141" s="128">
        <f>1+((GK141-MIN(ratings_sums))*(4)/(MAX(ratings_sums) - MIN(ratings_sums)))</f>
        <v>2.981998468</v>
      </c>
    </row>
    <row r="142" ht="15.75" customHeight="1">
      <c r="A142" s="161" t="s">
        <v>1128</v>
      </c>
      <c r="B142" s="15">
        <v>1775091.0</v>
      </c>
      <c r="C142" s="162" t="s">
        <v>1146</v>
      </c>
      <c r="D142" s="163">
        <v>43600.459027777775</v>
      </c>
      <c r="E142" s="15" t="s">
        <v>198</v>
      </c>
      <c r="F142" s="164" t="s">
        <v>1147</v>
      </c>
      <c r="G142" s="164" t="s">
        <v>1148</v>
      </c>
      <c r="H142" s="173">
        <v>43843.0</v>
      </c>
      <c r="I142" s="162" t="s">
        <v>1149</v>
      </c>
      <c r="J142" s="162" t="s">
        <v>1146</v>
      </c>
      <c r="K142" s="15" t="s">
        <v>383</v>
      </c>
      <c r="L142" s="15" t="s">
        <v>390</v>
      </c>
      <c r="M142" s="15" t="s">
        <v>31</v>
      </c>
      <c r="N142" s="15" t="s">
        <v>32</v>
      </c>
      <c r="O142" s="15" t="s">
        <v>35</v>
      </c>
      <c r="Q142" s="15" t="s">
        <v>84</v>
      </c>
      <c r="R142" s="166"/>
      <c r="S142" s="120"/>
      <c r="T142" s="69"/>
      <c r="U142" s="69">
        <v>2500000.0</v>
      </c>
      <c r="V142" s="132">
        <v>0.1</v>
      </c>
      <c r="W142" s="96">
        <f t="shared" si="125"/>
        <v>2250000</v>
      </c>
      <c r="X142" s="98">
        <f t="shared" si="126"/>
        <v>2250000</v>
      </c>
      <c r="Y142" s="99" t="str">
        <f t="shared" si="127"/>
        <v>$2M - $4M</v>
      </c>
      <c r="Z142" s="15" t="s">
        <v>86</v>
      </c>
      <c r="AA142" s="15" t="s">
        <v>37</v>
      </c>
      <c r="AB142" s="15" t="s">
        <v>38</v>
      </c>
      <c r="AC142" s="15" t="s">
        <v>493</v>
      </c>
      <c r="AD142" s="15" t="s">
        <v>39</v>
      </c>
      <c r="AE142" s="15" t="s">
        <v>39</v>
      </c>
      <c r="AF142" s="15" t="s">
        <v>469</v>
      </c>
      <c r="AG142" s="69">
        <v>2.0E11</v>
      </c>
      <c r="AH142" s="97" t="str">
        <f t="shared" si="128"/>
        <v>$100B-$250B</v>
      </c>
      <c r="AI142" s="69">
        <v>4.71E9</v>
      </c>
      <c r="AJ142" s="97" t="str">
        <f t="shared" si="129"/>
        <v>$1B-$5B</v>
      </c>
      <c r="AK142" s="167">
        <v>0.16</v>
      </c>
      <c r="AL142" s="88" t="str">
        <f t="shared" si="130"/>
        <v>10%-20%</v>
      </c>
      <c r="AM142" s="15">
        <v>6.0</v>
      </c>
      <c r="AN142" s="15" t="s">
        <v>89</v>
      </c>
      <c r="AO142" s="15" t="s">
        <v>89</v>
      </c>
      <c r="AP142" s="15" t="s">
        <v>40</v>
      </c>
      <c r="AQ142" s="168"/>
      <c r="AR142" s="168"/>
      <c r="AS142" s="15" t="s">
        <v>469</v>
      </c>
      <c r="AT142" s="15" t="s">
        <v>469</v>
      </c>
      <c r="AU142" s="15" t="s">
        <v>469</v>
      </c>
      <c r="AV142" s="15" t="s">
        <v>469</v>
      </c>
      <c r="AW142" s="69">
        <v>0.0</v>
      </c>
      <c r="AX142" s="96" t="str">
        <f t="shared" si="131"/>
        <v>&lt; $10K</v>
      </c>
      <c r="AY142" s="69">
        <v>50.0</v>
      </c>
      <c r="AZ142" s="69">
        <v>0.0</v>
      </c>
      <c r="BA142" s="103" t="str">
        <f t="shared" si="132"/>
        <v>&lt; $10K</v>
      </c>
      <c r="BB142" s="103">
        <f t="shared" si="133"/>
        <v>1</v>
      </c>
      <c r="BC142" s="103" t="str">
        <f t="shared" si="134"/>
        <v>90% - 100%</v>
      </c>
      <c r="BD142" s="15" t="s">
        <v>91</v>
      </c>
      <c r="BF142" s="15" t="s">
        <v>469</v>
      </c>
      <c r="BG142" s="15">
        <v>0.0</v>
      </c>
      <c r="BH142" s="15">
        <v>1.0</v>
      </c>
      <c r="BI142" s="15" t="s">
        <v>469</v>
      </c>
      <c r="BJ142" s="15" t="s">
        <v>469</v>
      </c>
      <c r="BK142" s="15" t="s">
        <v>493</v>
      </c>
      <c r="BL142" s="15" t="s">
        <v>469</v>
      </c>
      <c r="BM142" s="15">
        <v>2.0</v>
      </c>
      <c r="BN142" s="15">
        <v>1.0</v>
      </c>
      <c r="BO142" s="15">
        <v>0.0</v>
      </c>
      <c r="BP142" s="15">
        <v>0.0</v>
      </c>
      <c r="BQ142" s="108"/>
      <c r="BR142" s="15">
        <v>0.0</v>
      </c>
      <c r="BS142" s="15">
        <v>2.0</v>
      </c>
      <c r="BT142" s="15">
        <v>0.0</v>
      </c>
      <c r="BU142" s="15">
        <v>55.0</v>
      </c>
      <c r="BV142" s="15" t="s">
        <v>469</v>
      </c>
      <c r="BW142" s="108"/>
      <c r="CC142" s="108"/>
      <c r="CI142" s="108"/>
      <c r="CO142" s="108"/>
      <c r="CU142" s="108"/>
      <c r="DA142" s="108"/>
      <c r="DG142" s="108"/>
      <c r="DM142" s="108"/>
      <c r="DS142" s="108"/>
      <c r="DT142" s="108"/>
      <c r="DU142" s="108"/>
      <c r="DW142" s="109"/>
      <c r="DX142" s="110">
        <f t="shared" si="13"/>
        <v>0</v>
      </c>
      <c r="DY142" s="111">
        <f t="shared" ref="DY142:DZ142" si="343">sum(BS142,BY142,CE142,CK142,CQ142,CW142,DC142,DI142,DO142)</f>
        <v>2</v>
      </c>
      <c r="DZ142" s="111">
        <f t="shared" si="343"/>
        <v>0</v>
      </c>
      <c r="EA142" s="110">
        <f t="shared" si="15"/>
        <v>55</v>
      </c>
      <c r="EB142" s="99" t="str">
        <f t="shared" si="16"/>
        <v>55+</v>
      </c>
      <c r="EC142" s="112"/>
      <c r="ED142" s="113">
        <f t="shared" si="17"/>
        <v>4.6</v>
      </c>
      <c r="EE142" s="114">
        <f>IF(V142 &lt;&gt; "", 1+((V142-MIN(discount_rates))*(4)/(MAX(discount_rates) - MIN(discount_rates))), "")</f>
        <v>2.052631579</v>
      </c>
      <c r="EF142" s="114" t="str">
        <f>IF(Q142="Debt", (1+((S142-MIN(interest_rates))*(4)/(MAX(interest_rates) - MIN(interest_rates)))), "")</f>
        <v/>
      </c>
      <c r="EG142" s="114" t="str">
        <f>IF(OR(Q142="Revenue Share", Q142="Profit Share"), (1+((R142-MIN(return_mutiples))*(4)/(MAX(return_mutiples) - MIN(return_mutiples)))), "")</f>
        <v/>
      </c>
      <c r="EH142" s="115">
        <f t="shared" si="18"/>
        <v>4.6</v>
      </c>
      <c r="EI142" s="116" t="str">
        <f t="shared" si="19"/>
        <v>Convertible Note</v>
      </c>
      <c r="EJ142" s="117">
        <f t="shared" si="20"/>
        <v>0.1232876712</v>
      </c>
      <c r="EK142" s="116" t="str">
        <f t="shared" si="21"/>
        <v>Early</v>
      </c>
      <c r="EL142" s="112"/>
      <c r="EM142" s="118">
        <f t="shared" si="22"/>
        <v>2.7</v>
      </c>
      <c r="EN142" s="118">
        <f t="shared" si="23"/>
        <v>2.3</v>
      </c>
      <c r="EO142" s="119">
        <f t="shared" si="24"/>
        <v>5</v>
      </c>
      <c r="EP142" s="115">
        <f>1+((EO142-MIN(market_ratings_sums))*(4)/(MAX(market_ratings_sums) - MIN(market_ratings_sums)))</f>
        <v>2.614035088</v>
      </c>
      <c r="EQ142" s="116" t="str">
        <f t="shared" si="25"/>
        <v>No</v>
      </c>
      <c r="ER142" s="112"/>
      <c r="ES142" s="123">
        <f>1+((DX142-MIN(industry_experiences))*(4)/(MAX(industry_experiences) - MIN(industry_experiences)))</f>
        <v>1</v>
      </c>
      <c r="ET142" s="123">
        <f>1+((DY142-MIN(previous_startups))*(4)/(MAX(previous_startups) - MIN(previous_startups)))</f>
        <v>1.888888889</v>
      </c>
      <c r="EU142" s="123">
        <f>1+((DZ142-MIN(exits))*(4)/(MAX(exits) - MIN(exits)))</f>
        <v>1</v>
      </c>
      <c r="EV142" s="119">
        <f t="shared" si="26"/>
        <v>3.888888889</v>
      </c>
      <c r="EW142" s="124">
        <f>1+((EV142-MIN(team_ratings_sums))*(4)/(MAX(team_ratings_sums) - MIN(team_ratings_sums)))</f>
        <v>1.486956522</v>
      </c>
      <c r="EX142" s="116" t="str">
        <f t="shared" si="27"/>
        <v>55+</v>
      </c>
      <c r="EY142" s="125">
        <f t="shared" si="28"/>
        <v>0.1095890411</v>
      </c>
      <c r="EZ142" s="116">
        <f t="shared" si="29"/>
        <v>1</v>
      </c>
      <c r="FA142" s="125">
        <f t="shared" si="30"/>
        <v>0.4383561644</v>
      </c>
      <c r="FB142" s="116">
        <f t="shared" si="31"/>
        <v>1</v>
      </c>
      <c r="FC142" s="125">
        <f t="shared" si="32"/>
        <v>0.08219178082</v>
      </c>
      <c r="FD142" s="116" t="str">
        <f t="shared" si="33"/>
        <v>No</v>
      </c>
      <c r="FE142" s="125">
        <f t="shared" si="34"/>
        <v>0.7534246575</v>
      </c>
      <c r="FF142" s="116" t="str">
        <f t="shared" ref="FF142:FH142" si="344">BJ142</f>
        <v>No</v>
      </c>
      <c r="FG142" s="116" t="str">
        <f t="shared" si="344"/>
        <v>Yes</v>
      </c>
      <c r="FH142" s="116" t="str">
        <f t="shared" si="344"/>
        <v>No</v>
      </c>
      <c r="FI142" s="112"/>
      <c r="FJ142" s="116" t="str">
        <f t="shared" si="36"/>
        <v>Recurring</v>
      </c>
      <c r="FK142" s="125">
        <f t="shared" si="37"/>
        <v>0.397260274</v>
      </c>
      <c r="FL142" s="116" t="str">
        <f t="shared" si="38"/>
        <v>B2B</v>
      </c>
      <c r="FM142" s="125">
        <f t="shared" si="39"/>
        <v>0.2465753425</v>
      </c>
      <c r="FN142" s="116" t="str">
        <f t="shared" si="40"/>
        <v>High</v>
      </c>
      <c r="FO142" s="125">
        <f t="shared" si="41"/>
        <v>0.5616438356</v>
      </c>
      <c r="FP142" s="116" t="str">
        <f t="shared" si="42"/>
        <v>High</v>
      </c>
      <c r="FQ142" s="125">
        <f t="shared" si="43"/>
        <v>0.6438356164</v>
      </c>
      <c r="FR142" s="112"/>
      <c r="FS142" s="123">
        <f t="shared" si="44"/>
        <v>1</v>
      </c>
      <c r="FT142" s="123">
        <f t="shared" si="45"/>
        <v>1</v>
      </c>
      <c r="FU142" s="123">
        <f t="shared" si="46"/>
        <v>1</v>
      </c>
      <c r="FV142" s="123">
        <f t="shared" si="47"/>
        <v>5</v>
      </c>
      <c r="FW142" s="119">
        <f t="shared" si="48"/>
        <v>8</v>
      </c>
      <c r="FX142" s="115">
        <f>1+((FW142-MIN(performance_ratings_sums))*(4)/(MAX(performance_ratings_sums) - MIN(performance_ratings_sums)))</f>
        <v>1.485981308</v>
      </c>
      <c r="FY142" s="116" t="str">
        <f t="shared" si="49"/>
        <v>Pre-Revenue</v>
      </c>
      <c r="FZ142" s="126">
        <f t="shared" si="50"/>
        <v>0.2054794521</v>
      </c>
      <c r="GA142" s="112"/>
      <c r="GB142" s="127">
        <f t="shared" si="51"/>
        <v>1</v>
      </c>
      <c r="GC142" s="116" t="str">
        <f t="shared" si="52"/>
        <v>No</v>
      </c>
      <c r="GD142" s="126">
        <f t="shared" si="53"/>
        <v>0.7671232877</v>
      </c>
      <c r="GE142" s="126" t="str">
        <f t="shared" si="54"/>
        <v/>
      </c>
      <c r="GF142" s="126">
        <f t="shared" si="55"/>
        <v>0</v>
      </c>
      <c r="GG142" s="126" t="str">
        <f t="shared" si="56"/>
        <v/>
      </c>
      <c r="GH142" s="126">
        <f t="shared" si="57"/>
        <v>0</v>
      </c>
      <c r="GI142" s="112"/>
      <c r="GJ142" s="116"/>
      <c r="GK142" s="119">
        <f t="shared" si="58"/>
        <v>11.18697292</v>
      </c>
      <c r="GL142" s="128">
        <f>1+((GK142-MIN(ratings_sums))*(4)/(MAX(ratings_sums) - MIN(ratings_sums)))</f>
        <v>2.225206607</v>
      </c>
    </row>
    <row r="143" ht="15.75" customHeight="1">
      <c r="A143" s="161" t="s">
        <v>1128</v>
      </c>
      <c r="B143" s="15">
        <v>1773062.0</v>
      </c>
      <c r="C143" s="162" t="s">
        <v>1150</v>
      </c>
      <c r="D143" s="163">
        <v>43601.490277777775</v>
      </c>
      <c r="E143" s="15" t="s">
        <v>343</v>
      </c>
      <c r="F143" s="164" t="s">
        <v>1151</v>
      </c>
      <c r="G143" s="164" t="s">
        <v>1152</v>
      </c>
      <c r="H143" s="173">
        <v>43598.0</v>
      </c>
      <c r="I143" s="162" t="s">
        <v>1153</v>
      </c>
      <c r="J143" s="162" t="s">
        <v>1150</v>
      </c>
      <c r="K143" s="15" t="s">
        <v>489</v>
      </c>
      <c r="L143" s="15" t="s">
        <v>390</v>
      </c>
      <c r="M143" s="15" t="s">
        <v>81</v>
      </c>
      <c r="N143" s="15" t="s">
        <v>101</v>
      </c>
      <c r="O143" s="15" t="s">
        <v>35</v>
      </c>
      <c r="Q143" s="15" t="s">
        <v>121</v>
      </c>
      <c r="R143" s="166"/>
      <c r="S143" s="120"/>
      <c r="T143" s="69">
        <v>2400000.0</v>
      </c>
      <c r="U143" s="69"/>
      <c r="V143" s="132"/>
      <c r="W143" s="96" t="str">
        <f t="shared" si="125"/>
        <v/>
      </c>
      <c r="X143" s="98">
        <f t="shared" si="126"/>
        <v>2400000</v>
      </c>
      <c r="Y143" s="99" t="str">
        <f t="shared" si="127"/>
        <v>$2M - $4M</v>
      </c>
      <c r="Z143" s="15" t="s">
        <v>86</v>
      </c>
      <c r="AA143" s="15" t="s">
        <v>37</v>
      </c>
      <c r="AB143" s="15" t="s">
        <v>38</v>
      </c>
      <c r="AC143" s="15" t="s">
        <v>493</v>
      </c>
      <c r="AD143" s="15" t="s">
        <v>89</v>
      </c>
      <c r="AE143" s="15" t="s">
        <v>89</v>
      </c>
      <c r="AF143" s="15" t="s">
        <v>469</v>
      </c>
      <c r="AG143" s="69">
        <v>2.8E10</v>
      </c>
      <c r="AH143" s="97" t="str">
        <f t="shared" si="128"/>
        <v>$25B-$50B</v>
      </c>
      <c r="AI143" s="69">
        <v>2.8E10</v>
      </c>
      <c r="AJ143" s="97" t="str">
        <f t="shared" si="129"/>
        <v>$25B-$50B</v>
      </c>
      <c r="AK143" s="167">
        <v>-0.05</v>
      </c>
      <c r="AL143" s="88" t="str">
        <f t="shared" si="130"/>
        <v>&lt; 0% (Shrinking Market)</v>
      </c>
      <c r="AM143" s="32">
        <v>7218.0</v>
      </c>
      <c r="AN143" s="15" t="s">
        <v>89</v>
      </c>
      <c r="AO143" s="15" t="s">
        <v>89</v>
      </c>
      <c r="AP143" s="15" t="s">
        <v>90</v>
      </c>
      <c r="AQ143" s="168"/>
      <c r="AR143" s="168"/>
      <c r="AS143" s="15" t="s">
        <v>493</v>
      </c>
      <c r="AT143" s="15" t="s">
        <v>469</v>
      </c>
      <c r="AU143" s="15" t="s">
        <v>493</v>
      </c>
      <c r="AV143" s="15" t="s">
        <v>493</v>
      </c>
      <c r="AW143" s="69">
        <v>305370.0</v>
      </c>
      <c r="AX143" s="96" t="str">
        <f t="shared" si="131"/>
        <v>$100K - $500K</v>
      </c>
      <c r="AY143" s="69">
        <v>0.0</v>
      </c>
      <c r="AZ143" s="69">
        <v>0.0</v>
      </c>
      <c r="BA143" s="103" t="str">
        <f t="shared" si="132"/>
        <v>&lt; $10K</v>
      </c>
      <c r="BB143" s="103">
        <f t="shared" si="133"/>
        <v>1</v>
      </c>
      <c r="BC143" s="103" t="str">
        <f t="shared" si="134"/>
        <v>90% - 100%</v>
      </c>
      <c r="BD143" s="15" t="s">
        <v>124</v>
      </c>
      <c r="BF143" s="15" t="s">
        <v>493</v>
      </c>
      <c r="BG143" s="15">
        <v>4.0</v>
      </c>
      <c r="BH143" s="15">
        <v>2.0</v>
      </c>
      <c r="BI143" s="15" t="s">
        <v>493</v>
      </c>
      <c r="BJ143" s="15" t="s">
        <v>493</v>
      </c>
      <c r="BK143" s="15" t="s">
        <v>469</v>
      </c>
      <c r="BL143" s="15" t="s">
        <v>469</v>
      </c>
      <c r="BM143" s="15">
        <v>3.0</v>
      </c>
      <c r="BN143" s="15">
        <v>3.0</v>
      </c>
      <c r="BO143" s="15">
        <v>0.0</v>
      </c>
      <c r="BP143" s="15">
        <v>0.0</v>
      </c>
      <c r="BQ143" s="108"/>
      <c r="BR143" s="15">
        <v>11.0</v>
      </c>
      <c r="BS143" s="15">
        <v>0.0</v>
      </c>
      <c r="BT143" s="15">
        <v>0.0</v>
      </c>
      <c r="BU143" s="15">
        <v>44.0</v>
      </c>
      <c r="BV143" s="15" t="s">
        <v>469</v>
      </c>
      <c r="BW143" s="108"/>
      <c r="BX143" s="15">
        <v>0.0</v>
      </c>
      <c r="BY143" s="15">
        <v>0.0</v>
      </c>
      <c r="BZ143" s="15">
        <v>0.0</v>
      </c>
      <c r="CA143" s="15">
        <v>44.0</v>
      </c>
      <c r="CB143" s="15" t="s">
        <v>469</v>
      </c>
      <c r="CC143" s="108"/>
      <c r="CI143" s="108"/>
      <c r="CO143" s="108"/>
      <c r="CU143" s="108"/>
      <c r="DA143" s="108"/>
      <c r="DG143" s="108"/>
      <c r="DM143" s="108"/>
      <c r="DS143" s="108"/>
      <c r="DT143" s="108"/>
      <c r="DU143" s="108"/>
      <c r="DW143" s="109"/>
      <c r="DX143" s="110">
        <f t="shared" si="13"/>
        <v>5.5</v>
      </c>
      <c r="DY143" s="111">
        <f t="shared" ref="DY143:DZ143" si="345">sum(BS143,BY143,CE143,CK143,CQ143,CW143,DC143,DI143,DO143)</f>
        <v>0</v>
      </c>
      <c r="DZ143" s="111">
        <f t="shared" si="345"/>
        <v>0</v>
      </c>
      <c r="EA143" s="110">
        <f t="shared" si="15"/>
        <v>44</v>
      </c>
      <c r="EB143" s="99" t="str">
        <f t="shared" si="16"/>
        <v>35 - 54</v>
      </c>
      <c r="EC143" s="112"/>
      <c r="ED143" s="113">
        <f t="shared" si="17"/>
        <v>4.6</v>
      </c>
      <c r="EE143" s="114" t="str">
        <f>IF(V143 &lt;&gt; "", 1+((V143-MIN(discount_rates))*(4)/(MAX(discount_rates) - MIN(discount_rates))), "")</f>
        <v/>
      </c>
      <c r="EF143" s="114" t="str">
        <f>IF(Q143="Debt", (1+((S143-MIN(interest_rates))*(4)/(MAX(interest_rates) - MIN(interest_rates)))), "")</f>
        <v/>
      </c>
      <c r="EG143" s="114" t="str">
        <f>IF(OR(Q143="Revenue Share", Q143="Profit Share"), (1+((R143-MIN(return_mutiples))*(4)/(MAX(return_mutiples) - MIN(return_mutiples)))), "")</f>
        <v/>
      </c>
      <c r="EH143" s="115">
        <f t="shared" si="18"/>
        <v>4.6</v>
      </c>
      <c r="EI143" s="116" t="str">
        <f t="shared" si="19"/>
        <v>Equity - Common</v>
      </c>
      <c r="EJ143" s="117">
        <f t="shared" si="20"/>
        <v>0.3287671233</v>
      </c>
      <c r="EK143" s="116" t="str">
        <f t="shared" si="21"/>
        <v>Growth</v>
      </c>
      <c r="EL143" s="112"/>
      <c r="EM143" s="118">
        <f t="shared" si="22"/>
        <v>3.6</v>
      </c>
      <c r="EN143" s="118">
        <f t="shared" si="23"/>
        <v>1</v>
      </c>
      <c r="EO143" s="119">
        <f t="shared" si="24"/>
        <v>4.6</v>
      </c>
      <c r="EP143" s="115">
        <f>1+((EO143-MIN(market_ratings_sums))*(4)/(MAX(market_ratings_sums) - MIN(market_ratings_sums)))</f>
        <v>2.333333333</v>
      </c>
      <c r="EQ143" s="116" t="str">
        <f t="shared" si="25"/>
        <v>Yes</v>
      </c>
      <c r="ER143" s="112"/>
      <c r="ES143" s="123">
        <f>1+((DX143-MIN(industry_experiences))*(4)/(MAX(industry_experiences) - MIN(industry_experiences)))</f>
        <v>1.523809524</v>
      </c>
      <c r="ET143" s="123">
        <f>1+((DY143-MIN(previous_startups))*(4)/(MAX(previous_startups) - MIN(previous_startups)))</f>
        <v>1</v>
      </c>
      <c r="EU143" s="123">
        <f>1+((DZ143-MIN(exits))*(4)/(MAX(exits) - MIN(exits)))</f>
        <v>1</v>
      </c>
      <c r="EV143" s="119">
        <f t="shared" si="26"/>
        <v>3.523809524</v>
      </c>
      <c r="EW143" s="124">
        <f>1+((EV143-MIN(team_ratings_sums))*(4)/(MAX(team_ratings_sums) - MIN(team_ratings_sums)))</f>
        <v>1.286956522</v>
      </c>
      <c r="EX143" s="116" t="str">
        <f t="shared" si="27"/>
        <v>35 - 54</v>
      </c>
      <c r="EY143" s="125">
        <f t="shared" si="28"/>
        <v>0.6849315068</v>
      </c>
      <c r="EZ143" s="116">
        <f t="shared" si="29"/>
        <v>2</v>
      </c>
      <c r="FA143" s="125">
        <f t="shared" si="30"/>
        <v>0.4520547945</v>
      </c>
      <c r="FB143" s="116">
        <f t="shared" si="31"/>
        <v>3</v>
      </c>
      <c r="FC143" s="125">
        <f t="shared" si="32"/>
        <v>0.08219178082</v>
      </c>
      <c r="FD143" s="116" t="str">
        <f t="shared" si="33"/>
        <v>Yes</v>
      </c>
      <c r="FE143" s="125">
        <f t="shared" si="34"/>
        <v>0.2465753425</v>
      </c>
      <c r="FF143" s="116" t="str">
        <f t="shared" ref="FF143:FH143" si="346">BJ143</f>
        <v>Yes</v>
      </c>
      <c r="FG143" s="116" t="str">
        <f t="shared" si="346"/>
        <v>No</v>
      </c>
      <c r="FH143" s="116" t="str">
        <f t="shared" si="346"/>
        <v>No</v>
      </c>
      <c r="FI143" s="112"/>
      <c r="FJ143" s="116" t="str">
        <f t="shared" si="36"/>
        <v>Recurring</v>
      </c>
      <c r="FK143" s="125">
        <f t="shared" si="37"/>
        <v>0.397260274</v>
      </c>
      <c r="FL143" s="116" t="str">
        <f t="shared" si="38"/>
        <v>B2B</v>
      </c>
      <c r="FM143" s="125">
        <f t="shared" si="39"/>
        <v>0.2465753425</v>
      </c>
      <c r="FN143" s="116" t="str">
        <f t="shared" si="40"/>
        <v>Low</v>
      </c>
      <c r="FO143" s="125">
        <f t="shared" si="41"/>
        <v>0.4383561644</v>
      </c>
      <c r="FP143" s="116" t="str">
        <f t="shared" si="42"/>
        <v>Low</v>
      </c>
      <c r="FQ143" s="125">
        <f t="shared" si="43"/>
        <v>0.3561643836</v>
      </c>
      <c r="FR143" s="112"/>
      <c r="FS143" s="123">
        <f t="shared" si="44"/>
        <v>5</v>
      </c>
      <c r="FT143" s="123">
        <f t="shared" si="45"/>
        <v>2.3</v>
      </c>
      <c r="FU143" s="123">
        <f t="shared" si="46"/>
        <v>1</v>
      </c>
      <c r="FV143" s="123">
        <f t="shared" si="47"/>
        <v>5</v>
      </c>
      <c r="FW143" s="119">
        <f t="shared" si="48"/>
        <v>13.3</v>
      </c>
      <c r="FX143" s="115">
        <f>1+((FW143-MIN(performance_ratings_sums))*(4)/(MAX(performance_ratings_sums) - MIN(performance_ratings_sums)))</f>
        <v>3.46728972</v>
      </c>
      <c r="FY143" s="116" t="str">
        <f t="shared" si="49"/>
        <v>Profitable</v>
      </c>
      <c r="FZ143" s="126">
        <f t="shared" si="50"/>
        <v>0.06849315068</v>
      </c>
      <c r="GA143" s="112"/>
      <c r="GB143" s="127">
        <f t="shared" si="51"/>
        <v>1</v>
      </c>
      <c r="GC143" s="116" t="str">
        <f t="shared" si="52"/>
        <v>No</v>
      </c>
      <c r="GD143" s="126">
        <f t="shared" si="53"/>
        <v>0.7671232877</v>
      </c>
      <c r="GE143" s="126" t="str">
        <f t="shared" si="54"/>
        <v/>
      </c>
      <c r="GF143" s="126">
        <f t="shared" si="55"/>
        <v>0</v>
      </c>
      <c r="GG143" s="126" t="str">
        <f t="shared" si="56"/>
        <v/>
      </c>
      <c r="GH143" s="126">
        <f t="shared" si="57"/>
        <v>0</v>
      </c>
      <c r="GI143" s="112"/>
      <c r="GJ143" s="116"/>
      <c r="GK143" s="119">
        <f t="shared" si="58"/>
        <v>12.68757957</v>
      </c>
      <c r="GL143" s="128">
        <f>1+((GK143-MIN(ratings_sums))*(4)/(MAX(ratings_sums) - MIN(ratings_sums)))</f>
        <v>2.685652705</v>
      </c>
    </row>
    <row r="144" ht="15.75" customHeight="1">
      <c r="A144" s="161" t="s">
        <v>1128</v>
      </c>
      <c r="B144" s="15">
        <v>1776148.0</v>
      </c>
      <c r="C144" s="162" t="s">
        <v>1154</v>
      </c>
      <c r="D144" s="163">
        <v>43605.58888888889</v>
      </c>
      <c r="E144" s="15" t="s">
        <v>363</v>
      </c>
      <c r="F144" s="164" t="s">
        <v>1155</v>
      </c>
      <c r="G144" s="164" t="s">
        <v>1156</v>
      </c>
      <c r="H144" s="173">
        <v>43605.0</v>
      </c>
      <c r="I144" s="162" t="s">
        <v>1157</v>
      </c>
      <c r="J144" s="162" t="s">
        <v>1154</v>
      </c>
      <c r="K144" s="15" t="s">
        <v>220</v>
      </c>
      <c r="L144" s="15" t="s">
        <v>117</v>
      </c>
      <c r="M144" s="15" t="s">
        <v>31</v>
      </c>
      <c r="N144" s="15" t="s">
        <v>82</v>
      </c>
      <c r="O144" s="15" t="s">
        <v>35</v>
      </c>
      <c r="Q144" s="15" t="s">
        <v>34</v>
      </c>
      <c r="R144" s="166"/>
      <c r="S144" s="120"/>
      <c r="T144" s="69"/>
      <c r="U144" s="69">
        <v>760000.0</v>
      </c>
      <c r="V144" s="132">
        <v>0.0</v>
      </c>
      <c r="W144" s="96">
        <f t="shared" si="125"/>
        <v>760000</v>
      </c>
      <c r="X144" s="98">
        <f t="shared" si="126"/>
        <v>760000</v>
      </c>
      <c r="Y144" s="99" t="str">
        <f t="shared" si="127"/>
        <v>&lt; $1M</v>
      </c>
      <c r="Z144" s="15" t="s">
        <v>86</v>
      </c>
      <c r="AA144" s="15" t="s">
        <v>105</v>
      </c>
      <c r="AB144" s="15" t="s">
        <v>88</v>
      </c>
      <c r="AC144" s="15" t="s">
        <v>493</v>
      </c>
      <c r="AD144" s="15" t="s">
        <v>89</v>
      </c>
      <c r="AE144" s="15" t="s">
        <v>39</v>
      </c>
      <c r="AF144" s="15" t="s">
        <v>469</v>
      </c>
      <c r="AG144" s="69">
        <v>1.174E10</v>
      </c>
      <c r="AH144" s="97" t="str">
        <f t="shared" si="128"/>
        <v>$10B-$25B</v>
      </c>
      <c r="AI144" s="69">
        <v>8.32E8</v>
      </c>
      <c r="AJ144" s="97" t="str">
        <f t="shared" si="129"/>
        <v>$500M-$1B</v>
      </c>
      <c r="AK144" s="167">
        <v>0.32</v>
      </c>
      <c r="AL144" s="88" t="str">
        <f t="shared" si="130"/>
        <v>30%-40%</v>
      </c>
      <c r="AM144" s="15">
        <v>5.0</v>
      </c>
      <c r="AN144" s="15" t="s">
        <v>89</v>
      </c>
      <c r="AO144" s="15" t="s">
        <v>89</v>
      </c>
      <c r="AP144" s="15" t="s">
        <v>40</v>
      </c>
      <c r="AQ144" s="168"/>
      <c r="AR144" s="168"/>
      <c r="AS144" s="15" t="s">
        <v>493</v>
      </c>
      <c r="AT144" s="15" t="s">
        <v>469</v>
      </c>
      <c r="AU144" s="15" t="s">
        <v>469</v>
      </c>
      <c r="AV144" s="15" t="s">
        <v>469</v>
      </c>
      <c r="AW144" s="69">
        <v>0.0</v>
      </c>
      <c r="AX144" s="96" t="str">
        <f t="shared" si="131"/>
        <v>&lt; $10K</v>
      </c>
      <c r="AY144" s="69">
        <v>32.0</v>
      </c>
      <c r="AZ144" s="69">
        <v>0.0</v>
      </c>
      <c r="BA144" s="103" t="str">
        <f t="shared" si="132"/>
        <v>&lt; $10K</v>
      </c>
      <c r="BB144" s="103">
        <f t="shared" si="133"/>
        <v>1</v>
      </c>
      <c r="BC144" s="103" t="str">
        <f t="shared" si="134"/>
        <v>90% - 100%</v>
      </c>
      <c r="BD144" s="15" t="s">
        <v>91</v>
      </c>
      <c r="BF144" s="15" t="s">
        <v>469</v>
      </c>
      <c r="BG144" s="15">
        <v>0.0</v>
      </c>
      <c r="BH144" s="15">
        <v>1.0</v>
      </c>
      <c r="BI144" s="15" t="s">
        <v>469</v>
      </c>
      <c r="BJ144" s="15" t="s">
        <v>469</v>
      </c>
      <c r="BK144" s="15" t="s">
        <v>469</v>
      </c>
      <c r="BL144" s="15" t="s">
        <v>469</v>
      </c>
      <c r="BM144" s="15">
        <v>0.0</v>
      </c>
      <c r="BN144" s="15">
        <v>3.0</v>
      </c>
      <c r="BO144" s="15">
        <v>0.0</v>
      </c>
      <c r="BP144" s="15">
        <v>0.0</v>
      </c>
      <c r="BQ144" s="108"/>
      <c r="BR144" s="15">
        <v>0.0</v>
      </c>
      <c r="BS144" s="15">
        <v>0.0</v>
      </c>
      <c r="BT144" s="15">
        <v>0.0</v>
      </c>
      <c r="BU144" s="15">
        <v>42.0</v>
      </c>
      <c r="BV144" s="15" t="s">
        <v>469</v>
      </c>
      <c r="BW144" s="108"/>
      <c r="CC144" s="108"/>
      <c r="CI144" s="108"/>
      <c r="CO144" s="108"/>
      <c r="CU144" s="108"/>
      <c r="DA144" s="108"/>
      <c r="DG144" s="108"/>
      <c r="DM144" s="108"/>
      <c r="DS144" s="108"/>
      <c r="DT144" s="108"/>
      <c r="DU144" s="108"/>
      <c r="DW144" s="109"/>
      <c r="DX144" s="110">
        <f t="shared" si="13"/>
        <v>0</v>
      </c>
      <c r="DY144" s="111">
        <f t="shared" ref="DY144:DZ144" si="347">sum(BS144,BY144,CE144,CK144,CQ144,CW144,DC144,DI144,DO144)</f>
        <v>0</v>
      </c>
      <c r="DZ144" s="111">
        <f t="shared" si="347"/>
        <v>0</v>
      </c>
      <c r="EA144" s="110">
        <f t="shared" si="15"/>
        <v>42</v>
      </c>
      <c r="EB144" s="99" t="str">
        <f t="shared" si="16"/>
        <v>35 - 54</v>
      </c>
      <c r="EC144" s="112"/>
      <c r="ED144" s="113">
        <f t="shared" si="17"/>
        <v>5</v>
      </c>
      <c r="EE144" s="114">
        <f>IF(V144 &lt;&gt; "", 1+((V144-MIN(discount_rates))*(4)/(MAX(discount_rates) - MIN(discount_rates))), "")</f>
        <v>1</v>
      </c>
      <c r="EF144" s="114" t="str">
        <f>IF(Q144="Debt", (1+((S144-MIN(interest_rates))*(4)/(MAX(interest_rates) - MIN(interest_rates)))), "")</f>
        <v/>
      </c>
      <c r="EG144" s="114" t="str">
        <f>IF(OR(Q144="Revenue Share", Q144="Profit Share"), (1+((R144-MIN(return_mutiples))*(4)/(MAX(return_mutiples) - MIN(return_mutiples)))), "")</f>
        <v/>
      </c>
      <c r="EH144" s="115">
        <f t="shared" si="18"/>
        <v>5</v>
      </c>
      <c r="EI144" s="116" t="str">
        <f t="shared" si="19"/>
        <v>CAFES</v>
      </c>
      <c r="EJ144" s="117">
        <f t="shared" si="20"/>
        <v>0.1232876712</v>
      </c>
      <c r="EK144" s="116" t="str">
        <f t="shared" si="21"/>
        <v>Early</v>
      </c>
      <c r="EL144" s="112"/>
      <c r="EM144" s="118">
        <f t="shared" si="22"/>
        <v>2.4</v>
      </c>
      <c r="EN144" s="118">
        <f t="shared" si="23"/>
        <v>3.7</v>
      </c>
      <c r="EO144" s="119">
        <f t="shared" si="24"/>
        <v>6.1</v>
      </c>
      <c r="EP144" s="115">
        <f>1+((EO144-MIN(market_ratings_sums))*(4)/(MAX(market_ratings_sums) - MIN(market_ratings_sums)))</f>
        <v>3.385964912</v>
      </c>
      <c r="EQ144" s="116" t="str">
        <f t="shared" si="25"/>
        <v>Yes</v>
      </c>
      <c r="ER144" s="112"/>
      <c r="ES144" s="123">
        <f>1+((DX144-MIN(industry_experiences))*(4)/(MAX(industry_experiences) - MIN(industry_experiences)))</f>
        <v>1</v>
      </c>
      <c r="ET144" s="123">
        <f>1+((DY144-MIN(previous_startups))*(4)/(MAX(previous_startups) - MIN(previous_startups)))</f>
        <v>1</v>
      </c>
      <c r="EU144" s="123">
        <f>1+((DZ144-MIN(exits))*(4)/(MAX(exits) - MIN(exits)))</f>
        <v>1</v>
      </c>
      <c r="EV144" s="119">
        <f t="shared" si="26"/>
        <v>3</v>
      </c>
      <c r="EW144" s="124">
        <f>1+((EV144-MIN(team_ratings_sums))*(4)/(MAX(team_ratings_sums) - MIN(team_ratings_sums)))</f>
        <v>1</v>
      </c>
      <c r="EX144" s="116" t="str">
        <f t="shared" si="27"/>
        <v>35 - 54</v>
      </c>
      <c r="EY144" s="125">
        <f t="shared" si="28"/>
        <v>0.6849315068</v>
      </c>
      <c r="EZ144" s="116">
        <f t="shared" si="29"/>
        <v>1</v>
      </c>
      <c r="FA144" s="125">
        <f t="shared" si="30"/>
        <v>0.4383561644</v>
      </c>
      <c r="FB144" s="116">
        <f t="shared" si="31"/>
        <v>3</v>
      </c>
      <c r="FC144" s="125">
        <f t="shared" si="32"/>
        <v>0.08219178082</v>
      </c>
      <c r="FD144" s="116" t="str">
        <f t="shared" si="33"/>
        <v>No</v>
      </c>
      <c r="FE144" s="125">
        <f t="shared" si="34"/>
        <v>0.7534246575</v>
      </c>
      <c r="FF144" s="116" t="str">
        <f t="shared" ref="FF144:FH144" si="348">BJ144</f>
        <v>No</v>
      </c>
      <c r="FG144" s="116" t="str">
        <f t="shared" si="348"/>
        <v>No</v>
      </c>
      <c r="FH144" s="116" t="str">
        <f t="shared" si="348"/>
        <v>No</v>
      </c>
      <c r="FI144" s="112"/>
      <c r="FJ144" s="116" t="str">
        <f t="shared" si="36"/>
        <v>Recurring</v>
      </c>
      <c r="FK144" s="125">
        <f t="shared" si="37"/>
        <v>0.397260274</v>
      </c>
      <c r="FL144" s="116" t="str">
        <f t="shared" si="38"/>
        <v>B2B2C</v>
      </c>
      <c r="FM144" s="125">
        <f t="shared" si="39"/>
        <v>0.02739726027</v>
      </c>
      <c r="FN144" s="116" t="str">
        <f t="shared" si="40"/>
        <v>Low</v>
      </c>
      <c r="FO144" s="125">
        <f t="shared" si="41"/>
        <v>0.4383561644</v>
      </c>
      <c r="FP144" s="116" t="str">
        <f t="shared" si="42"/>
        <v>High</v>
      </c>
      <c r="FQ144" s="125">
        <f t="shared" si="43"/>
        <v>0.6438356164</v>
      </c>
      <c r="FR144" s="112"/>
      <c r="FS144" s="123">
        <f t="shared" si="44"/>
        <v>1</v>
      </c>
      <c r="FT144" s="123">
        <f t="shared" si="45"/>
        <v>1</v>
      </c>
      <c r="FU144" s="123">
        <f t="shared" si="46"/>
        <v>1</v>
      </c>
      <c r="FV144" s="123">
        <f t="shared" si="47"/>
        <v>5</v>
      </c>
      <c r="FW144" s="119">
        <f t="shared" si="48"/>
        <v>8</v>
      </c>
      <c r="FX144" s="115">
        <f>1+((FW144-MIN(performance_ratings_sums))*(4)/(MAX(performance_ratings_sums) - MIN(performance_ratings_sums)))</f>
        <v>1.485981308</v>
      </c>
      <c r="FY144" s="116" t="str">
        <f t="shared" si="49"/>
        <v>Pre-Revenue</v>
      </c>
      <c r="FZ144" s="126">
        <f t="shared" si="50"/>
        <v>0.2054794521</v>
      </c>
      <c r="GA144" s="112"/>
      <c r="GB144" s="127">
        <f t="shared" si="51"/>
        <v>1</v>
      </c>
      <c r="GC144" s="116" t="str">
        <f t="shared" si="52"/>
        <v>No</v>
      </c>
      <c r="GD144" s="126">
        <f t="shared" si="53"/>
        <v>0.7671232877</v>
      </c>
      <c r="GE144" s="126" t="str">
        <f t="shared" si="54"/>
        <v/>
      </c>
      <c r="GF144" s="126">
        <f t="shared" si="55"/>
        <v>0</v>
      </c>
      <c r="GG144" s="126" t="str">
        <f t="shared" si="56"/>
        <v/>
      </c>
      <c r="GH144" s="126">
        <f t="shared" si="57"/>
        <v>0</v>
      </c>
      <c r="GI144" s="112"/>
      <c r="GJ144" s="116"/>
      <c r="GK144" s="119">
        <f t="shared" si="58"/>
        <v>11.87194622</v>
      </c>
      <c r="GL144" s="128">
        <f>1+((GK144-MIN(ratings_sums))*(4)/(MAX(ratings_sums) - MIN(ratings_sums)))</f>
        <v>2.435383793</v>
      </c>
    </row>
    <row r="145" ht="15.75" customHeight="1">
      <c r="A145" s="161" t="s">
        <v>1128</v>
      </c>
      <c r="B145" s="15">
        <v>1744757.0</v>
      </c>
      <c r="C145" s="162" t="s">
        <v>1158</v>
      </c>
      <c r="D145" s="163">
        <v>43612.365277777775</v>
      </c>
      <c r="E145" s="15" t="s">
        <v>350</v>
      </c>
      <c r="F145" s="164" t="s">
        <v>1159</v>
      </c>
      <c r="G145" s="164" t="s">
        <v>1160</v>
      </c>
      <c r="H145" s="173">
        <v>43896.0</v>
      </c>
      <c r="I145" s="162" t="s">
        <v>1161</v>
      </c>
      <c r="J145" s="162" t="s">
        <v>1158</v>
      </c>
      <c r="K145" s="15" t="s">
        <v>471</v>
      </c>
      <c r="L145" s="15" t="s">
        <v>221</v>
      </c>
      <c r="M145" s="15" t="s">
        <v>31</v>
      </c>
      <c r="N145" s="15" t="s">
        <v>82</v>
      </c>
      <c r="O145" s="15" t="s">
        <v>35</v>
      </c>
      <c r="Q145" s="15" t="s">
        <v>121</v>
      </c>
      <c r="R145" s="166"/>
      <c r="S145" s="120"/>
      <c r="T145" s="69">
        <v>3062871.0</v>
      </c>
      <c r="U145" s="69"/>
      <c r="V145" s="132"/>
      <c r="W145" s="96" t="str">
        <f t="shared" si="125"/>
        <v/>
      </c>
      <c r="X145" s="98">
        <f t="shared" si="126"/>
        <v>3062871</v>
      </c>
      <c r="Y145" s="99" t="str">
        <f t="shared" si="127"/>
        <v>$2M - $4M</v>
      </c>
      <c r="Z145" s="15" t="s">
        <v>86</v>
      </c>
      <c r="AA145" s="15" t="s">
        <v>123</v>
      </c>
      <c r="AB145" s="15" t="s">
        <v>88</v>
      </c>
      <c r="AC145" s="15" t="s">
        <v>493</v>
      </c>
      <c r="AD145" s="15" t="s">
        <v>39</v>
      </c>
      <c r="AE145" s="15" t="s">
        <v>89</v>
      </c>
      <c r="AF145" s="15" t="s">
        <v>469</v>
      </c>
      <c r="AG145" s="69">
        <v>1.72E10</v>
      </c>
      <c r="AH145" s="97" t="str">
        <f t="shared" si="128"/>
        <v>$10B-$25B</v>
      </c>
      <c r="AI145" s="69">
        <v>1.72E10</v>
      </c>
      <c r="AJ145" s="97" t="str">
        <f t="shared" si="129"/>
        <v>$10B-$25B</v>
      </c>
      <c r="AK145" s="167">
        <v>0.15</v>
      </c>
      <c r="AL145" s="88" t="str">
        <f t="shared" si="130"/>
        <v>10%-20%</v>
      </c>
      <c r="AM145" s="15">
        <v>0.0</v>
      </c>
      <c r="AN145" s="15" t="s">
        <v>39</v>
      </c>
      <c r="AO145" s="15" t="s">
        <v>39</v>
      </c>
      <c r="AP145" s="15" t="s">
        <v>90</v>
      </c>
      <c r="AQ145" s="168"/>
      <c r="AR145" s="168"/>
      <c r="AS145" s="15" t="s">
        <v>469</v>
      </c>
      <c r="AT145" s="15" t="s">
        <v>469</v>
      </c>
      <c r="AU145" s="15" t="s">
        <v>493</v>
      </c>
      <c r="AV145" s="15" t="s">
        <v>493</v>
      </c>
      <c r="AW145" s="69">
        <v>2293.0</v>
      </c>
      <c r="AX145" s="96" t="str">
        <f t="shared" si="131"/>
        <v>&lt; $10K</v>
      </c>
      <c r="AY145" s="69">
        <v>5049.0</v>
      </c>
      <c r="AZ145" s="69">
        <v>192000.0</v>
      </c>
      <c r="BA145" s="103" t="str">
        <f t="shared" si="132"/>
        <v>$100K - $500K</v>
      </c>
      <c r="BB145" s="103">
        <f t="shared" si="133"/>
        <v>0.026296875</v>
      </c>
      <c r="BC145" s="103" t="str">
        <f t="shared" si="134"/>
        <v>&lt; 10%</v>
      </c>
      <c r="BD145" s="15" t="s">
        <v>107</v>
      </c>
      <c r="BF145" s="15" t="s">
        <v>493</v>
      </c>
      <c r="BG145" s="15">
        <v>3.0</v>
      </c>
      <c r="BH145" s="15">
        <v>1.0</v>
      </c>
      <c r="BI145" s="15" t="s">
        <v>493</v>
      </c>
      <c r="BJ145" s="15" t="s">
        <v>469</v>
      </c>
      <c r="BK145" s="15" t="s">
        <v>469</v>
      </c>
      <c r="BL145" s="15" t="s">
        <v>469</v>
      </c>
      <c r="BM145" s="15">
        <v>2.0</v>
      </c>
      <c r="BN145" s="15">
        <v>15.0</v>
      </c>
      <c r="BO145" s="15">
        <v>6.0</v>
      </c>
      <c r="BP145" s="15">
        <v>0.0</v>
      </c>
      <c r="BQ145" s="108"/>
      <c r="BR145" s="15">
        <v>4.0</v>
      </c>
      <c r="BS145" s="15">
        <v>1.0</v>
      </c>
      <c r="BT145" s="15">
        <v>1.0</v>
      </c>
      <c r="BU145" s="15">
        <v>27.0</v>
      </c>
      <c r="BV145" s="15" t="s">
        <v>469</v>
      </c>
      <c r="BW145" s="108"/>
      <c r="CC145" s="108"/>
      <c r="CI145" s="108"/>
      <c r="CO145" s="108"/>
      <c r="CU145" s="108"/>
      <c r="DA145" s="108"/>
      <c r="DG145" s="108"/>
      <c r="DM145" s="108"/>
      <c r="DS145" s="108"/>
      <c r="DT145" s="108"/>
      <c r="DU145" s="108"/>
      <c r="DW145" s="109"/>
      <c r="DX145" s="110">
        <f t="shared" si="13"/>
        <v>4</v>
      </c>
      <c r="DY145" s="111">
        <f t="shared" ref="DY145:DZ145" si="349">sum(BS145,BY145,CE145,CK145,CQ145,CW145,DC145,DI145,DO145)</f>
        <v>1</v>
      </c>
      <c r="DZ145" s="111">
        <f t="shared" si="349"/>
        <v>1</v>
      </c>
      <c r="EA145" s="110">
        <f t="shared" si="15"/>
        <v>27</v>
      </c>
      <c r="EB145" s="99" t="str">
        <f t="shared" si="16"/>
        <v>20 - 34</v>
      </c>
      <c r="EC145" s="112"/>
      <c r="ED145" s="113">
        <f t="shared" si="17"/>
        <v>4.6</v>
      </c>
      <c r="EE145" s="114" t="str">
        <f>IF(V145 &lt;&gt; "", 1+((V145-MIN(discount_rates))*(4)/(MAX(discount_rates) - MIN(discount_rates))), "")</f>
        <v/>
      </c>
      <c r="EF145" s="114" t="str">
        <f>IF(Q145="Debt", (1+((S145-MIN(interest_rates))*(4)/(MAX(interest_rates) - MIN(interest_rates)))), "")</f>
        <v/>
      </c>
      <c r="EG145" s="114" t="str">
        <f>IF(OR(Q145="Revenue Share", Q145="Profit Share"), (1+((R145-MIN(return_mutiples))*(4)/(MAX(return_mutiples) - MIN(return_mutiples)))), "")</f>
        <v/>
      </c>
      <c r="EH145" s="115">
        <f t="shared" si="18"/>
        <v>4.6</v>
      </c>
      <c r="EI145" s="116" t="str">
        <f t="shared" si="19"/>
        <v>Equity - Common</v>
      </c>
      <c r="EJ145" s="117">
        <f t="shared" si="20"/>
        <v>0.3287671233</v>
      </c>
      <c r="EK145" s="116" t="str">
        <f t="shared" si="21"/>
        <v>Early</v>
      </c>
      <c r="EL145" s="112"/>
      <c r="EM145" s="118">
        <f t="shared" si="22"/>
        <v>3.3</v>
      </c>
      <c r="EN145" s="118">
        <f t="shared" si="23"/>
        <v>2.3</v>
      </c>
      <c r="EO145" s="119">
        <f t="shared" si="24"/>
        <v>5.6</v>
      </c>
      <c r="EP145" s="115">
        <f>1+((EO145-MIN(market_ratings_sums))*(4)/(MAX(market_ratings_sums) - MIN(market_ratings_sums)))</f>
        <v>3.035087719</v>
      </c>
      <c r="EQ145" s="116" t="str">
        <f t="shared" si="25"/>
        <v>No</v>
      </c>
      <c r="ER145" s="112"/>
      <c r="ES145" s="123">
        <f>1+((DX145-MIN(industry_experiences))*(4)/(MAX(industry_experiences) - MIN(industry_experiences)))</f>
        <v>1.380952381</v>
      </c>
      <c r="ET145" s="123">
        <f>1+((DY145-MIN(previous_startups))*(4)/(MAX(previous_startups) - MIN(previous_startups)))</f>
        <v>1.444444444</v>
      </c>
      <c r="EU145" s="123">
        <f>1+((DZ145-MIN(exits))*(4)/(MAX(exits) - MIN(exits)))</f>
        <v>2</v>
      </c>
      <c r="EV145" s="119">
        <f t="shared" si="26"/>
        <v>4.825396825</v>
      </c>
      <c r="EW145" s="124">
        <f>1+((EV145-MIN(team_ratings_sums))*(4)/(MAX(team_ratings_sums) - MIN(team_ratings_sums)))</f>
        <v>2</v>
      </c>
      <c r="EX145" s="116" t="str">
        <f t="shared" si="27"/>
        <v>20 - 34</v>
      </c>
      <c r="EY145" s="125">
        <f t="shared" si="28"/>
        <v>0.2054794521</v>
      </c>
      <c r="EZ145" s="116">
        <f t="shared" si="29"/>
        <v>1</v>
      </c>
      <c r="FA145" s="125">
        <f t="shared" si="30"/>
        <v>0.4383561644</v>
      </c>
      <c r="FB145" s="116">
        <f t="shared" si="31"/>
        <v>15</v>
      </c>
      <c r="FC145" s="125">
        <f t="shared" si="32"/>
        <v>0.01369863014</v>
      </c>
      <c r="FD145" s="116" t="str">
        <f t="shared" si="33"/>
        <v>Yes</v>
      </c>
      <c r="FE145" s="125">
        <f t="shared" si="34"/>
        <v>0.2465753425</v>
      </c>
      <c r="FF145" s="116" t="str">
        <f t="shared" ref="FF145:FH145" si="350">BJ145</f>
        <v>No</v>
      </c>
      <c r="FG145" s="116" t="str">
        <f t="shared" si="350"/>
        <v>No</v>
      </c>
      <c r="FH145" s="116" t="str">
        <f t="shared" si="350"/>
        <v>No</v>
      </c>
      <c r="FI145" s="112"/>
      <c r="FJ145" s="116" t="str">
        <f t="shared" si="36"/>
        <v>Recurring</v>
      </c>
      <c r="FK145" s="125">
        <f t="shared" si="37"/>
        <v>0.397260274</v>
      </c>
      <c r="FL145" s="116" t="str">
        <f t="shared" si="38"/>
        <v>B2B/B2C</v>
      </c>
      <c r="FM145" s="125">
        <f t="shared" si="39"/>
        <v>0.3287671233</v>
      </c>
      <c r="FN145" s="116" t="str">
        <f t="shared" si="40"/>
        <v>High</v>
      </c>
      <c r="FO145" s="125">
        <f t="shared" si="41"/>
        <v>0.5616438356</v>
      </c>
      <c r="FP145" s="116" t="str">
        <f t="shared" si="42"/>
        <v>Low</v>
      </c>
      <c r="FQ145" s="125">
        <f t="shared" si="43"/>
        <v>0.3561643836</v>
      </c>
      <c r="FR145" s="112"/>
      <c r="FS145" s="123">
        <f t="shared" si="44"/>
        <v>5</v>
      </c>
      <c r="FT145" s="123">
        <f t="shared" si="45"/>
        <v>1</v>
      </c>
      <c r="FU145" s="123">
        <f t="shared" si="46"/>
        <v>5</v>
      </c>
      <c r="FV145" s="123">
        <f t="shared" si="47"/>
        <v>3.7</v>
      </c>
      <c r="FW145" s="119">
        <f t="shared" si="48"/>
        <v>14.7</v>
      </c>
      <c r="FX145" s="115">
        <f>1+((FW145-MIN(performance_ratings_sums))*(4)/(MAX(performance_ratings_sums) - MIN(performance_ratings_sums)))</f>
        <v>3.990654206</v>
      </c>
      <c r="FY145" s="116" t="str">
        <f t="shared" si="49"/>
        <v>Pre-Profit</v>
      </c>
      <c r="FZ145" s="126">
        <f t="shared" si="50"/>
        <v>0.4931506849</v>
      </c>
      <c r="GA145" s="112"/>
      <c r="GB145" s="127">
        <f t="shared" si="51"/>
        <v>5</v>
      </c>
      <c r="GC145" s="116" t="str">
        <f t="shared" si="52"/>
        <v>No</v>
      </c>
      <c r="GD145" s="126">
        <f t="shared" si="53"/>
        <v>0.7671232877</v>
      </c>
      <c r="GE145" s="126" t="str">
        <f t="shared" si="54"/>
        <v/>
      </c>
      <c r="GF145" s="126">
        <f t="shared" si="55"/>
        <v>0</v>
      </c>
      <c r="GG145" s="126" t="str">
        <f t="shared" si="56"/>
        <v/>
      </c>
      <c r="GH145" s="126">
        <f t="shared" si="57"/>
        <v>0</v>
      </c>
      <c r="GI145" s="112"/>
      <c r="GJ145" s="116"/>
      <c r="GK145" s="119">
        <f t="shared" si="58"/>
        <v>18.62574192</v>
      </c>
      <c r="GL145" s="128">
        <f>1+((GK145-MIN(ratings_sums))*(4)/(MAX(ratings_sums) - MIN(ratings_sums)))</f>
        <v>4.507718247</v>
      </c>
    </row>
    <row r="146" ht="15.75" customHeight="1">
      <c r="A146" s="161" t="s">
        <v>1128</v>
      </c>
      <c r="B146" s="15">
        <v>1742637.0</v>
      </c>
      <c r="C146" s="162" t="s">
        <v>1162</v>
      </c>
      <c r="D146" s="163">
        <v>43622.45416666667</v>
      </c>
      <c r="E146" s="15" t="s">
        <v>109</v>
      </c>
      <c r="F146" s="164" t="s">
        <v>1163</v>
      </c>
      <c r="G146" s="164" t="s">
        <v>1164</v>
      </c>
      <c r="H146" s="173">
        <v>43621.0</v>
      </c>
      <c r="I146" s="162" t="s">
        <v>1165</v>
      </c>
      <c r="J146" s="162" t="s">
        <v>1166</v>
      </c>
      <c r="K146" s="15" t="s">
        <v>467</v>
      </c>
      <c r="L146" s="15" t="s">
        <v>390</v>
      </c>
      <c r="M146" s="15" t="s">
        <v>81</v>
      </c>
      <c r="N146" s="15" t="s">
        <v>101</v>
      </c>
      <c r="O146" s="15" t="s">
        <v>35</v>
      </c>
      <c r="Q146" s="15" t="s">
        <v>121</v>
      </c>
      <c r="R146" s="166"/>
      <c r="S146" s="120"/>
      <c r="T146" s="69">
        <v>5000000.0</v>
      </c>
      <c r="U146" s="69"/>
      <c r="V146" s="132"/>
      <c r="W146" s="96" t="str">
        <f t="shared" si="125"/>
        <v/>
      </c>
      <c r="X146" s="98">
        <f t="shared" si="126"/>
        <v>5000000</v>
      </c>
      <c r="Y146" s="99" t="str">
        <f t="shared" si="127"/>
        <v>$4M - $6M</v>
      </c>
      <c r="Z146" s="15" t="s">
        <v>86</v>
      </c>
      <c r="AA146" s="15" t="s">
        <v>37</v>
      </c>
      <c r="AB146" s="15" t="s">
        <v>38</v>
      </c>
      <c r="AC146" s="15" t="s">
        <v>493</v>
      </c>
      <c r="AD146" s="15" t="s">
        <v>89</v>
      </c>
      <c r="AE146" s="15" t="s">
        <v>89</v>
      </c>
      <c r="AF146" s="15" t="s">
        <v>469</v>
      </c>
      <c r="AG146" s="69">
        <v>6.21142E11</v>
      </c>
      <c r="AH146" s="97" t="str">
        <f t="shared" si="128"/>
        <v>$500B-$1T</v>
      </c>
      <c r="AI146" s="69">
        <v>2.44E11</v>
      </c>
      <c r="AJ146" s="97" t="str">
        <f t="shared" si="129"/>
        <v>$100B-$250B</v>
      </c>
      <c r="AK146" s="167">
        <v>0.05</v>
      </c>
      <c r="AL146" s="88" t="str">
        <f t="shared" si="130"/>
        <v>0%-10%</v>
      </c>
      <c r="AM146" s="32">
        <v>2600.0</v>
      </c>
      <c r="AN146" s="15" t="s">
        <v>89</v>
      </c>
      <c r="AO146" s="15" t="s">
        <v>89</v>
      </c>
      <c r="AP146" s="15" t="s">
        <v>40</v>
      </c>
      <c r="AQ146" s="168"/>
      <c r="AR146" s="168"/>
      <c r="AS146" s="15" t="s">
        <v>469</v>
      </c>
      <c r="AT146" s="15" t="s">
        <v>469</v>
      </c>
      <c r="AU146" s="15" t="s">
        <v>493</v>
      </c>
      <c r="AV146" s="15" t="s">
        <v>493</v>
      </c>
      <c r="AW146" s="69">
        <v>782715.0</v>
      </c>
      <c r="AX146" s="96" t="str">
        <f t="shared" si="131"/>
        <v>$500K - $1M</v>
      </c>
      <c r="AY146" s="69">
        <v>0.0</v>
      </c>
      <c r="AZ146" s="69">
        <v>0.0</v>
      </c>
      <c r="BA146" s="103" t="str">
        <f t="shared" si="132"/>
        <v>&lt; $10K</v>
      </c>
      <c r="BB146" s="103">
        <f t="shared" si="133"/>
        <v>1</v>
      </c>
      <c r="BC146" s="103" t="str">
        <f t="shared" si="134"/>
        <v>90% - 100%</v>
      </c>
      <c r="BD146" s="15" t="s">
        <v>124</v>
      </c>
      <c r="BF146" s="15" t="s">
        <v>469</v>
      </c>
      <c r="BG146" s="15">
        <v>0.0</v>
      </c>
      <c r="BH146" s="15">
        <v>1.0</v>
      </c>
      <c r="BI146" s="15" t="s">
        <v>493</v>
      </c>
      <c r="BJ146" s="15" t="s">
        <v>469</v>
      </c>
      <c r="BK146" s="15" t="s">
        <v>469</v>
      </c>
      <c r="BL146" s="15" t="s">
        <v>469</v>
      </c>
      <c r="BM146" s="15">
        <v>2.0</v>
      </c>
      <c r="BN146" s="15">
        <v>9.0</v>
      </c>
      <c r="BO146" s="15">
        <v>0.0</v>
      </c>
      <c r="BP146" s="15">
        <v>0.0</v>
      </c>
      <c r="BQ146" s="108"/>
      <c r="BR146" s="15">
        <v>24.0</v>
      </c>
      <c r="BS146" s="15">
        <v>1.0</v>
      </c>
      <c r="BT146" s="15">
        <v>1.0</v>
      </c>
      <c r="BU146" s="15">
        <v>72.0</v>
      </c>
      <c r="BV146" s="15" t="s">
        <v>469</v>
      </c>
      <c r="BW146" s="108"/>
      <c r="CC146" s="108"/>
      <c r="CI146" s="108"/>
      <c r="CO146" s="108"/>
      <c r="CU146" s="108"/>
      <c r="DA146" s="108"/>
      <c r="DG146" s="108"/>
      <c r="DM146" s="108"/>
      <c r="DS146" s="108"/>
      <c r="DT146" s="108"/>
      <c r="DU146" s="108"/>
      <c r="DW146" s="109"/>
      <c r="DX146" s="110">
        <f t="shared" si="13"/>
        <v>24</v>
      </c>
      <c r="DY146" s="111">
        <f t="shared" ref="DY146:DZ146" si="351">sum(BS146,BY146,CE146,CK146,CQ146,CW146,DC146,DI146,DO146)</f>
        <v>1</v>
      </c>
      <c r="DZ146" s="111">
        <f t="shared" si="351"/>
        <v>1</v>
      </c>
      <c r="EA146" s="110">
        <f t="shared" si="15"/>
        <v>72</v>
      </c>
      <c r="EB146" s="99" t="str">
        <f t="shared" si="16"/>
        <v>55+</v>
      </c>
      <c r="EC146" s="112"/>
      <c r="ED146" s="113">
        <f t="shared" si="17"/>
        <v>4.4</v>
      </c>
      <c r="EE146" s="114" t="str">
        <f>IF(V146 &lt;&gt; "", 1+((V146-MIN(discount_rates))*(4)/(MAX(discount_rates) - MIN(discount_rates))), "")</f>
        <v/>
      </c>
      <c r="EF146" s="114" t="str">
        <f>IF(Q146="Debt", (1+((S146-MIN(interest_rates))*(4)/(MAX(interest_rates) - MIN(interest_rates)))), "")</f>
        <v/>
      </c>
      <c r="EG146" s="114" t="str">
        <f>IF(OR(Q146="Revenue Share", Q146="Profit Share"), (1+((R146-MIN(return_mutiples))*(4)/(MAX(return_mutiples) - MIN(return_mutiples)))), "")</f>
        <v/>
      </c>
      <c r="EH146" s="115">
        <f t="shared" si="18"/>
        <v>4.4</v>
      </c>
      <c r="EI146" s="116" t="str">
        <f t="shared" si="19"/>
        <v>Equity - Common</v>
      </c>
      <c r="EJ146" s="117">
        <f t="shared" si="20"/>
        <v>0.3287671233</v>
      </c>
      <c r="EK146" s="116" t="str">
        <f t="shared" si="21"/>
        <v>Growth</v>
      </c>
      <c r="EL146" s="112"/>
      <c r="EM146" s="118">
        <f t="shared" si="22"/>
        <v>4.1</v>
      </c>
      <c r="EN146" s="118">
        <f t="shared" si="23"/>
        <v>1.7</v>
      </c>
      <c r="EO146" s="119">
        <f t="shared" si="24"/>
        <v>5.8</v>
      </c>
      <c r="EP146" s="115">
        <f>1+((EO146-MIN(market_ratings_sums))*(4)/(MAX(market_ratings_sums) - MIN(market_ratings_sums)))</f>
        <v>3.175438596</v>
      </c>
      <c r="EQ146" s="116" t="str">
        <f t="shared" si="25"/>
        <v>No</v>
      </c>
      <c r="ER146" s="112"/>
      <c r="ES146" s="123">
        <f>1+((DX146-MIN(industry_experiences))*(4)/(MAX(industry_experiences) - MIN(industry_experiences)))</f>
        <v>3.285714286</v>
      </c>
      <c r="ET146" s="123">
        <f>1+((DY146-MIN(previous_startups))*(4)/(MAX(previous_startups) - MIN(previous_startups)))</f>
        <v>1.444444444</v>
      </c>
      <c r="EU146" s="123">
        <f>1+((DZ146-MIN(exits))*(4)/(MAX(exits) - MIN(exits)))</f>
        <v>2</v>
      </c>
      <c r="EV146" s="119">
        <f t="shared" si="26"/>
        <v>6.73015873</v>
      </c>
      <c r="EW146" s="124">
        <f>1+((EV146-MIN(team_ratings_sums))*(4)/(MAX(team_ratings_sums) - MIN(team_ratings_sums)))</f>
        <v>3.043478261</v>
      </c>
      <c r="EX146" s="116" t="str">
        <f t="shared" si="27"/>
        <v>55+</v>
      </c>
      <c r="EY146" s="125">
        <f t="shared" si="28"/>
        <v>0.1095890411</v>
      </c>
      <c r="EZ146" s="116">
        <f t="shared" si="29"/>
        <v>1</v>
      </c>
      <c r="FA146" s="125">
        <f t="shared" si="30"/>
        <v>0.4383561644</v>
      </c>
      <c r="FB146" s="116">
        <f t="shared" si="31"/>
        <v>9</v>
      </c>
      <c r="FC146" s="125">
        <f t="shared" si="32"/>
        <v>0.05479452055</v>
      </c>
      <c r="FD146" s="116" t="str">
        <f t="shared" si="33"/>
        <v>Yes</v>
      </c>
      <c r="FE146" s="125">
        <f t="shared" si="34"/>
        <v>0.2465753425</v>
      </c>
      <c r="FF146" s="116" t="str">
        <f t="shared" ref="FF146:FH146" si="352">BJ146</f>
        <v>No</v>
      </c>
      <c r="FG146" s="116" t="str">
        <f t="shared" si="352"/>
        <v>No</v>
      </c>
      <c r="FH146" s="116" t="str">
        <f t="shared" si="352"/>
        <v>No</v>
      </c>
      <c r="FI146" s="112"/>
      <c r="FJ146" s="116" t="str">
        <f t="shared" si="36"/>
        <v>Recurring</v>
      </c>
      <c r="FK146" s="125">
        <f t="shared" si="37"/>
        <v>0.397260274</v>
      </c>
      <c r="FL146" s="116" t="str">
        <f t="shared" si="38"/>
        <v>B2B</v>
      </c>
      <c r="FM146" s="125">
        <f t="shared" si="39"/>
        <v>0.2465753425</v>
      </c>
      <c r="FN146" s="116" t="str">
        <f t="shared" si="40"/>
        <v>Low</v>
      </c>
      <c r="FO146" s="125">
        <f t="shared" si="41"/>
        <v>0.4383561644</v>
      </c>
      <c r="FP146" s="116" t="str">
        <f t="shared" si="42"/>
        <v>Low</v>
      </c>
      <c r="FQ146" s="125">
        <f t="shared" si="43"/>
        <v>0.3561643836</v>
      </c>
      <c r="FR146" s="112"/>
      <c r="FS146" s="123">
        <f t="shared" si="44"/>
        <v>5</v>
      </c>
      <c r="FT146" s="123">
        <f t="shared" si="45"/>
        <v>2.8</v>
      </c>
      <c r="FU146" s="123">
        <f t="shared" si="46"/>
        <v>1</v>
      </c>
      <c r="FV146" s="123">
        <f t="shared" si="47"/>
        <v>5</v>
      </c>
      <c r="FW146" s="119">
        <f t="shared" si="48"/>
        <v>13.8</v>
      </c>
      <c r="FX146" s="115">
        <f>1+((FW146-MIN(performance_ratings_sums))*(4)/(MAX(performance_ratings_sums) - MIN(performance_ratings_sums)))</f>
        <v>3.654205607</v>
      </c>
      <c r="FY146" s="116" t="str">
        <f t="shared" si="49"/>
        <v>Profitable</v>
      </c>
      <c r="FZ146" s="126">
        <f t="shared" si="50"/>
        <v>0.06849315068</v>
      </c>
      <c r="GA146" s="112"/>
      <c r="GB146" s="127">
        <f t="shared" si="51"/>
        <v>1</v>
      </c>
      <c r="GC146" s="116" t="str">
        <f t="shared" si="52"/>
        <v>No</v>
      </c>
      <c r="GD146" s="126">
        <f t="shared" si="53"/>
        <v>0.7671232877</v>
      </c>
      <c r="GE146" s="126" t="str">
        <f t="shared" si="54"/>
        <v/>
      </c>
      <c r="GF146" s="126">
        <f t="shared" si="55"/>
        <v>0</v>
      </c>
      <c r="GG146" s="126" t="str">
        <f t="shared" si="56"/>
        <v/>
      </c>
      <c r="GH146" s="126">
        <f t="shared" si="57"/>
        <v>0</v>
      </c>
      <c r="GI146" s="112"/>
      <c r="GJ146" s="116"/>
      <c r="GK146" s="119">
        <f t="shared" si="58"/>
        <v>15.27312246</v>
      </c>
      <c r="GL146" s="128">
        <f>1+((GK146-MIN(ratings_sums))*(4)/(MAX(ratings_sums) - MIN(ratings_sums)))</f>
        <v>3.479000601</v>
      </c>
    </row>
    <row r="147" ht="15.75" customHeight="1">
      <c r="A147" s="161" t="s">
        <v>1128</v>
      </c>
      <c r="B147" s="15">
        <v>1768911.0</v>
      </c>
      <c r="C147" s="162" t="s">
        <v>1167</v>
      </c>
      <c r="D147" s="163">
        <v>43636.35</v>
      </c>
      <c r="E147" s="15" t="s">
        <v>381</v>
      </c>
      <c r="F147" s="164" t="s">
        <v>1168</v>
      </c>
      <c r="G147" s="164" t="s">
        <v>1169</v>
      </c>
      <c r="H147" s="173">
        <v>43843.0</v>
      </c>
      <c r="I147" s="162" t="s">
        <v>1170</v>
      </c>
      <c r="J147" s="162" t="s">
        <v>1171</v>
      </c>
      <c r="K147" s="15" t="s">
        <v>459</v>
      </c>
      <c r="L147" s="15" t="s">
        <v>390</v>
      </c>
      <c r="M147" s="15" t="s">
        <v>31</v>
      </c>
      <c r="N147" s="15" t="s">
        <v>82</v>
      </c>
      <c r="O147" s="15" t="s">
        <v>35</v>
      </c>
      <c r="Q147" s="15" t="s">
        <v>121</v>
      </c>
      <c r="R147" s="166"/>
      <c r="S147" s="120"/>
      <c r="T147" s="69">
        <v>6561600.0</v>
      </c>
      <c r="U147" s="69"/>
      <c r="V147" s="132"/>
      <c r="W147" s="96" t="str">
        <f t="shared" si="125"/>
        <v/>
      </c>
      <c r="X147" s="98">
        <f t="shared" si="126"/>
        <v>6561600</v>
      </c>
      <c r="Y147" s="99" t="str">
        <f t="shared" si="127"/>
        <v>$6M - $8M</v>
      </c>
      <c r="Z147" s="15" t="s">
        <v>36</v>
      </c>
      <c r="AA147" s="15" t="s">
        <v>37</v>
      </c>
      <c r="AB147" s="15" t="s">
        <v>38</v>
      </c>
      <c r="AC147" s="15" t="s">
        <v>493</v>
      </c>
      <c r="AD147" s="15" t="s">
        <v>89</v>
      </c>
      <c r="AE147" s="15" t="s">
        <v>89</v>
      </c>
      <c r="AF147" s="15" t="s">
        <v>469</v>
      </c>
      <c r="AG147" s="69">
        <v>1.097E10</v>
      </c>
      <c r="AH147" s="97" t="str">
        <f t="shared" si="128"/>
        <v>$10B-$25B</v>
      </c>
      <c r="AI147" s="69">
        <v>1.097E10</v>
      </c>
      <c r="AJ147" s="97" t="str">
        <f t="shared" si="129"/>
        <v>$10B-$25B</v>
      </c>
      <c r="AK147" s="167">
        <v>0.05</v>
      </c>
      <c r="AL147" s="88" t="str">
        <f t="shared" si="130"/>
        <v>0%-10%</v>
      </c>
      <c r="AN147" s="15" t="s">
        <v>39</v>
      </c>
      <c r="AO147" s="15" t="s">
        <v>89</v>
      </c>
      <c r="AP147" s="15" t="s">
        <v>90</v>
      </c>
      <c r="AQ147" s="168"/>
      <c r="AR147" s="168"/>
      <c r="AS147" s="15" t="s">
        <v>493</v>
      </c>
      <c r="AT147" s="15" t="s">
        <v>493</v>
      </c>
      <c r="AU147" s="15" t="s">
        <v>493</v>
      </c>
      <c r="AV147" s="15" t="s">
        <v>469</v>
      </c>
      <c r="AW147" s="69">
        <v>0.0</v>
      </c>
      <c r="AX147" s="96" t="str">
        <f t="shared" si="131"/>
        <v>&lt; $10K</v>
      </c>
      <c r="AY147" s="69">
        <v>24248.0</v>
      </c>
      <c r="AZ147" s="69">
        <v>500686.0</v>
      </c>
      <c r="BA147" s="103" t="str">
        <f t="shared" si="132"/>
        <v>$500K - $1M</v>
      </c>
      <c r="BB147" s="103">
        <f t="shared" si="133"/>
        <v>0.04842955465</v>
      </c>
      <c r="BC147" s="103" t="str">
        <f t="shared" si="134"/>
        <v>&lt; 10%</v>
      </c>
      <c r="BD147" s="15" t="s">
        <v>91</v>
      </c>
      <c r="BF147" s="15" t="s">
        <v>493</v>
      </c>
      <c r="BG147" s="15">
        <v>1.0</v>
      </c>
      <c r="BH147" s="15">
        <v>2.0</v>
      </c>
      <c r="BI147" s="15" t="s">
        <v>493</v>
      </c>
      <c r="BJ147" s="15" t="s">
        <v>493</v>
      </c>
      <c r="BK147" s="15" t="s">
        <v>469</v>
      </c>
      <c r="BL147" s="15" t="s">
        <v>469</v>
      </c>
      <c r="BM147" s="15">
        <v>3.0</v>
      </c>
      <c r="BN147" s="15">
        <v>2.0</v>
      </c>
      <c r="BO147" s="15">
        <v>3.0</v>
      </c>
      <c r="BP147" s="15">
        <v>0.0</v>
      </c>
      <c r="BQ147" s="108"/>
      <c r="BR147" s="15">
        <v>34.0</v>
      </c>
      <c r="BS147" s="15">
        <v>1.0</v>
      </c>
      <c r="BT147" s="15">
        <v>0.0</v>
      </c>
      <c r="BU147" s="15">
        <v>58.0</v>
      </c>
      <c r="BV147" s="15" t="s">
        <v>493</v>
      </c>
      <c r="BW147" s="108"/>
      <c r="BX147" s="15">
        <v>0.0</v>
      </c>
      <c r="BY147" s="15">
        <v>0.0</v>
      </c>
      <c r="BZ147" s="15">
        <v>0.0</v>
      </c>
      <c r="CA147" s="15">
        <v>60.0</v>
      </c>
      <c r="CB147" s="15" t="s">
        <v>469</v>
      </c>
      <c r="CC147" s="108"/>
      <c r="CI147" s="108"/>
      <c r="CO147" s="108"/>
      <c r="CU147" s="108"/>
      <c r="DA147" s="108"/>
      <c r="DG147" s="108"/>
      <c r="DM147" s="108"/>
      <c r="DS147" s="108"/>
      <c r="DT147" s="108"/>
      <c r="DU147" s="108"/>
      <c r="DW147" s="109"/>
      <c r="DX147" s="110">
        <f t="shared" si="13"/>
        <v>17</v>
      </c>
      <c r="DY147" s="111">
        <f t="shared" ref="DY147:DZ147" si="353">sum(BS147,BY147,CE147,CK147,CQ147,CW147,DC147,DI147,DO147)</f>
        <v>1</v>
      </c>
      <c r="DZ147" s="111">
        <f t="shared" si="353"/>
        <v>0</v>
      </c>
      <c r="EA147" s="110">
        <f t="shared" si="15"/>
        <v>59</v>
      </c>
      <c r="EB147" s="99" t="str">
        <f t="shared" si="16"/>
        <v>55+</v>
      </c>
      <c r="EC147" s="112"/>
      <c r="ED147" s="113">
        <f t="shared" si="17"/>
        <v>4.2</v>
      </c>
      <c r="EE147" s="114" t="str">
        <f>IF(V147 &lt;&gt; "", 1+((V147-MIN(discount_rates))*(4)/(MAX(discount_rates) - MIN(discount_rates))), "")</f>
        <v/>
      </c>
      <c r="EF147" s="114" t="str">
        <f>IF(Q147="Debt", (1+((S147-MIN(interest_rates))*(4)/(MAX(interest_rates) - MIN(interest_rates)))), "")</f>
        <v/>
      </c>
      <c r="EG147" s="114" t="str">
        <f>IF(OR(Q147="Revenue Share", Q147="Profit Share"), (1+((R147-MIN(return_mutiples))*(4)/(MAX(return_mutiples) - MIN(return_mutiples)))), "")</f>
        <v/>
      </c>
      <c r="EH147" s="115">
        <f t="shared" si="18"/>
        <v>4.2</v>
      </c>
      <c r="EI147" s="116" t="str">
        <f t="shared" si="19"/>
        <v>Equity - Common</v>
      </c>
      <c r="EJ147" s="117">
        <f t="shared" si="20"/>
        <v>0.3287671233</v>
      </c>
      <c r="EK147" s="116" t="str">
        <f t="shared" si="21"/>
        <v>Early</v>
      </c>
      <c r="EL147" s="112"/>
      <c r="EM147" s="118">
        <f t="shared" si="22"/>
        <v>3.3</v>
      </c>
      <c r="EN147" s="118">
        <f t="shared" si="23"/>
        <v>1.7</v>
      </c>
      <c r="EO147" s="119">
        <f t="shared" si="24"/>
        <v>5</v>
      </c>
      <c r="EP147" s="115">
        <f>1+((EO147-MIN(market_ratings_sums))*(4)/(MAX(market_ratings_sums) - MIN(market_ratings_sums)))</f>
        <v>2.614035088</v>
      </c>
      <c r="EQ147" s="116" t="str">
        <f t="shared" si="25"/>
        <v>Yes</v>
      </c>
      <c r="ER147" s="112"/>
      <c r="ES147" s="123">
        <f>1+((DX147-MIN(industry_experiences))*(4)/(MAX(industry_experiences) - MIN(industry_experiences)))</f>
        <v>2.619047619</v>
      </c>
      <c r="ET147" s="123">
        <f>1+((DY147-MIN(previous_startups))*(4)/(MAX(previous_startups) - MIN(previous_startups)))</f>
        <v>1.444444444</v>
      </c>
      <c r="EU147" s="123">
        <f>1+((DZ147-MIN(exits))*(4)/(MAX(exits) - MIN(exits)))</f>
        <v>1</v>
      </c>
      <c r="EV147" s="119">
        <f t="shared" si="26"/>
        <v>5.063492063</v>
      </c>
      <c r="EW147" s="124">
        <f>1+((EV147-MIN(team_ratings_sums))*(4)/(MAX(team_ratings_sums) - MIN(team_ratings_sums)))</f>
        <v>2.130434783</v>
      </c>
      <c r="EX147" s="116" t="str">
        <f t="shared" si="27"/>
        <v>55+</v>
      </c>
      <c r="EY147" s="125">
        <f t="shared" si="28"/>
        <v>0.1095890411</v>
      </c>
      <c r="EZ147" s="116">
        <f t="shared" si="29"/>
        <v>2</v>
      </c>
      <c r="FA147" s="125">
        <f t="shared" si="30"/>
        <v>0.4520547945</v>
      </c>
      <c r="FB147" s="116">
        <f t="shared" si="31"/>
        <v>2</v>
      </c>
      <c r="FC147" s="125">
        <f t="shared" si="32"/>
        <v>0.1369863014</v>
      </c>
      <c r="FD147" s="116" t="str">
        <f t="shared" si="33"/>
        <v>Yes</v>
      </c>
      <c r="FE147" s="125">
        <f t="shared" si="34"/>
        <v>0.2465753425</v>
      </c>
      <c r="FF147" s="116" t="str">
        <f t="shared" ref="FF147:FH147" si="354">BJ147</f>
        <v>Yes</v>
      </c>
      <c r="FG147" s="116" t="str">
        <f t="shared" si="354"/>
        <v>No</v>
      </c>
      <c r="FH147" s="116" t="str">
        <f t="shared" si="354"/>
        <v>No</v>
      </c>
      <c r="FI147" s="112"/>
      <c r="FJ147" s="116" t="str">
        <f t="shared" si="36"/>
        <v>Transactional</v>
      </c>
      <c r="FK147" s="125">
        <f t="shared" si="37"/>
        <v>0.602739726</v>
      </c>
      <c r="FL147" s="116" t="str">
        <f t="shared" si="38"/>
        <v>B2B</v>
      </c>
      <c r="FM147" s="125">
        <f t="shared" si="39"/>
        <v>0.2465753425</v>
      </c>
      <c r="FN147" s="116" t="str">
        <f t="shared" si="40"/>
        <v>Low</v>
      </c>
      <c r="FO147" s="125">
        <f t="shared" si="41"/>
        <v>0.4383561644</v>
      </c>
      <c r="FP147" s="116" t="str">
        <f t="shared" si="42"/>
        <v>Low</v>
      </c>
      <c r="FQ147" s="125">
        <f t="shared" si="43"/>
        <v>0.3561643836</v>
      </c>
      <c r="FR147" s="112"/>
      <c r="FS147" s="123">
        <f t="shared" si="44"/>
        <v>3</v>
      </c>
      <c r="FT147" s="123">
        <f t="shared" si="45"/>
        <v>1</v>
      </c>
      <c r="FU147" s="123">
        <f t="shared" si="46"/>
        <v>5</v>
      </c>
      <c r="FV147" s="123">
        <f t="shared" si="47"/>
        <v>3.2</v>
      </c>
      <c r="FW147" s="119">
        <f t="shared" si="48"/>
        <v>12.2</v>
      </c>
      <c r="FX147" s="115">
        <f>1+((FW147-MIN(performance_ratings_sums))*(4)/(MAX(performance_ratings_sums) - MIN(performance_ratings_sums)))</f>
        <v>3.056074766</v>
      </c>
      <c r="FY147" s="116" t="str">
        <f t="shared" si="49"/>
        <v>Pre-Revenue</v>
      </c>
      <c r="FZ147" s="126">
        <f t="shared" si="50"/>
        <v>0.2054794521</v>
      </c>
      <c r="GA147" s="112"/>
      <c r="GB147" s="127">
        <f t="shared" si="51"/>
        <v>3</v>
      </c>
      <c r="GC147" s="116" t="str">
        <f t="shared" si="52"/>
        <v>Yes</v>
      </c>
      <c r="GD147" s="126">
        <f t="shared" si="53"/>
        <v>0.2328767123</v>
      </c>
      <c r="GE147" s="126" t="str">
        <f t="shared" si="54"/>
        <v/>
      </c>
      <c r="GF147" s="126">
        <f t="shared" si="55"/>
        <v>0</v>
      </c>
      <c r="GG147" s="126" t="str">
        <f t="shared" si="56"/>
        <v/>
      </c>
      <c r="GH147" s="126">
        <f t="shared" si="57"/>
        <v>0</v>
      </c>
      <c r="GI147" s="112"/>
      <c r="GJ147" s="116"/>
      <c r="GK147" s="119">
        <f t="shared" si="58"/>
        <v>15.00054464</v>
      </c>
      <c r="GL147" s="128">
        <f>1+((GK147-MIN(ratings_sums))*(4)/(MAX(ratings_sums) - MIN(ratings_sums)))</f>
        <v>3.395362829</v>
      </c>
    </row>
    <row r="148" ht="15.75" customHeight="1">
      <c r="A148" s="161" t="s">
        <v>1128</v>
      </c>
      <c r="B148" s="15">
        <v>1787023.0</v>
      </c>
      <c r="C148" s="162" t="s">
        <v>1172</v>
      </c>
      <c r="D148" s="163">
        <v>43726.419444444444</v>
      </c>
      <c r="E148" s="15" t="s">
        <v>198</v>
      </c>
      <c r="F148" s="164" t="s">
        <v>1173</v>
      </c>
      <c r="G148" s="164" t="s">
        <v>1174</v>
      </c>
      <c r="H148" s="173">
        <v>43844.0</v>
      </c>
      <c r="I148" s="162" t="s">
        <v>1175</v>
      </c>
      <c r="J148" s="162" t="s">
        <v>1176</v>
      </c>
      <c r="K148" s="15" t="s">
        <v>383</v>
      </c>
      <c r="L148" s="15" t="s">
        <v>390</v>
      </c>
      <c r="M148" s="15" t="s">
        <v>31</v>
      </c>
      <c r="N148" s="15" t="s">
        <v>32</v>
      </c>
      <c r="O148" s="15" t="s">
        <v>35</v>
      </c>
      <c r="Q148" s="15" t="s">
        <v>84</v>
      </c>
      <c r="R148" s="166"/>
      <c r="S148" s="120"/>
      <c r="U148" s="69">
        <v>3998304.0</v>
      </c>
      <c r="V148" s="132">
        <v>0.0</v>
      </c>
      <c r="W148" s="96">
        <f t="shared" si="125"/>
        <v>3998304</v>
      </c>
      <c r="X148" s="99">
        <f t="shared" si="126"/>
        <v>3998304</v>
      </c>
      <c r="Y148" s="99" t="str">
        <f t="shared" si="127"/>
        <v>$2M - $4M</v>
      </c>
      <c r="Z148" s="15" t="s">
        <v>86</v>
      </c>
      <c r="AA148" s="15" t="s">
        <v>37</v>
      </c>
      <c r="AB148" s="15" t="s">
        <v>38</v>
      </c>
      <c r="AC148" s="15" t="s">
        <v>493</v>
      </c>
      <c r="AD148" s="15" t="s">
        <v>39</v>
      </c>
      <c r="AE148" s="15" t="s">
        <v>39</v>
      </c>
      <c r="AF148" s="15" t="s">
        <v>469</v>
      </c>
      <c r="AG148" s="69">
        <v>2.0E11</v>
      </c>
      <c r="AH148" s="97" t="str">
        <f t="shared" si="128"/>
        <v>$100B-$250B</v>
      </c>
      <c r="AI148" s="69">
        <v>3.45E8</v>
      </c>
      <c r="AJ148" s="97" t="str">
        <f t="shared" si="129"/>
        <v>$250M-$500M</v>
      </c>
      <c r="AK148" s="167">
        <v>0.16</v>
      </c>
      <c r="AL148" s="88" t="str">
        <f t="shared" si="130"/>
        <v>10%-20%</v>
      </c>
      <c r="AM148" s="15">
        <v>1.0</v>
      </c>
      <c r="AN148" s="15" t="s">
        <v>89</v>
      </c>
      <c r="AO148" s="15" t="s">
        <v>89</v>
      </c>
      <c r="AP148" s="15" t="s">
        <v>40</v>
      </c>
      <c r="AQ148" s="168"/>
      <c r="AR148" s="168"/>
      <c r="AS148" s="15" t="s">
        <v>469</v>
      </c>
      <c r="AT148" s="15" t="s">
        <v>469</v>
      </c>
      <c r="AU148" s="15" t="s">
        <v>469</v>
      </c>
      <c r="AV148" s="15" t="s">
        <v>469</v>
      </c>
      <c r="AW148" s="69">
        <v>0.0</v>
      </c>
      <c r="AX148" s="96" t="str">
        <f t="shared" si="131"/>
        <v>&lt; $10K</v>
      </c>
      <c r="AY148" s="69">
        <v>514.0</v>
      </c>
      <c r="AZ148" s="69">
        <v>0.0</v>
      </c>
      <c r="BA148" s="103" t="str">
        <f t="shared" si="132"/>
        <v>&lt; $10K</v>
      </c>
      <c r="BB148" s="103">
        <f t="shared" si="133"/>
        <v>1</v>
      </c>
      <c r="BC148" s="103" t="str">
        <f t="shared" si="134"/>
        <v>90% - 100%</v>
      </c>
      <c r="BD148" s="15" t="s">
        <v>41</v>
      </c>
      <c r="BF148" s="15" t="s">
        <v>469</v>
      </c>
      <c r="BG148" s="15">
        <v>0.0</v>
      </c>
      <c r="BH148" s="15">
        <v>1.0</v>
      </c>
      <c r="BI148" s="15" t="s">
        <v>469</v>
      </c>
      <c r="BJ148" s="15" t="s">
        <v>493</v>
      </c>
      <c r="BK148" s="15" t="s">
        <v>469</v>
      </c>
      <c r="BL148" s="15" t="s">
        <v>469</v>
      </c>
      <c r="BM148" s="15">
        <v>2.0</v>
      </c>
      <c r="BN148" s="15">
        <v>1.0</v>
      </c>
      <c r="BO148" s="15">
        <v>0.0</v>
      </c>
      <c r="BP148" s="15">
        <v>0.0</v>
      </c>
      <c r="BQ148" s="108"/>
      <c r="BR148" s="15">
        <v>0.0</v>
      </c>
      <c r="BS148" s="15">
        <v>1.0</v>
      </c>
      <c r="BT148" s="15">
        <v>0.0</v>
      </c>
      <c r="BU148" s="15">
        <v>44.0</v>
      </c>
      <c r="BV148" s="15" t="s">
        <v>469</v>
      </c>
      <c r="BW148" s="108"/>
      <c r="CC148" s="108"/>
      <c r="CI148" s="108"/>
      <c r="CO148" s="108"/>
      <c r="CU148" s="108"/>
      <c r="DA148" s="108"/>
      <c r="DG148" s="108"/>
      <c r="DM148" s="108"/>
      <c r="DS148" s="108"/>
      <c r="DT148" s="108"/>
      <c r="DU148" s="108"/>
      <c r="DW148" s="109"/>
      <c r="DX148" s="110">
        <f t="shared" si="13"/>
        <v>0</v>
      </c>
      <c r="DY148" s="111">
        <f t="shared" ref="DY148:DZ148" si="355">sum(BS148,BY148,CE148,CK148,CQ148,CW148,DC148,DI148,DO148)</f>
        <v>1</v>
      </c>
      <c r="DZ148" s="111">
        <f t="shared" si="355"/>
        <v>0</v>
      </c>
      <c r="EA148" s="110">
        <f t="shared" si="15"/>
        <v>44</v>
      </c>
      <c r="EB148" s="99" t="str">
        <f t="shared" si="16"/>
        <v>35 - 54</v>
      </c>
      <c r="EC148" s="112"/>
      <c r="ED148" s="113">
        <f t="shared" si="17"/>
        <v>4.6</v>
      </c>
      <c r="EE148" s="114">
        <f>IF(V148 &lt;&gt; "", 1+((V148-MIN(discount_rates))*(4)/(MAX(discount_rates) - MIN(discount_rates))), "")</f>
        <v>1</v>
      </c>
      <c r="EF148" s="114" t="str">
        <f>IF(Q148="Debt", (1+((S148-MIN(interest_rates))*(4)/(MAX(interest_rates) - MIN(interest_rates)))), "")</f>
        <v/>
      </c>
      <c r="EG148" s="114" t="str">
        <f>IF(OR(Q148="Revenue Share", Q148="Profit Share"), (1+((R148-MIN(return_mutiples))*(4)/(MAX(return_mutiples) - MIN(return_mutiples)))), "")</f>
        <v/>
      </c>
      <c r="EH148" s="115">
        <f t="shared" si="18"/>
        <v>4.6</v>
      </c>
      <c r="EI148" s="116" t="str">
        <f t="shared" si="19"/>
        <v>Convertible Note</v>
      </c>
      <c r="EJ148" s="117">
        <f t="shared" si="20"/>
        <v>0.1232876712</v>
      </c>
      <c r="EK148" s="116" t="str">
        <f t="shared" si="21"/>
        <v>Early</v>
      </c>
      <c r="EL148" s="112"/>
      <c r="EM148" s="118">
        <f t="shared" si="22"/>
        <v>2.1</v>
      </c>
      <c r="EN148" s="118">
        <f t="shared" si="23"/>
        <v>2.3</v>
      </c>
      <c r="EO148" s="119">
        <f t="shared" si="24"/>
        <v>4.4</v>
      </c>
      <c r="EP148" s="115">
        <f>1+((EO148-MIN(market_ratings_sums))*(4)/(MAX(market_ratings_sums) - MIN(market_ratings_sums)))</f>
        <v>2.192982456</v>
      </c>
      <c r="EQ148" s="116" t="str">
        <f t="shared" si="25"/>
        <v>No</v>
      </c>
      <c r="ER148" s="112"/>
      <c r="ES148" s="123">
        <f>1+((DX148-MIN(industry_experiences))*(4)/(MAX(industry_experiences) - MIN(industry_experiences)))</f>
        <v>1</v>
      </c>
      <c r="ET148" s="123">
        <f>1+((DY148-MIN(previous_startups))*(4)/(MAX(previous_startups) - MIN(previous_startups)))</f>
        <v>1.444444444</v>
      </c>
      <c r="EU148" s="123">
        <f>1+((DZ148-MIN(exits))*(4)/(MAX(exits) - MIN(exits)))</f>
        <v>1</v>
      </c>
      <c r="EV148" s="119">
        <f t="shared" si="26"/>
        <v>3.444444444</v>
      </c>
      <c r="EW148" s="124">
        <f>1+((EV148-MIN(team_ratings_sums))*(4)/(MAX(team_ratings_sums) - MIN(team_ratings_sums)))</f>
        <v>1.243478261</v>
      </c>
      <c r="EX148" s="116" t="str">
        <f t="shared" si="27"/>
        <v>35 - 54</v>
      </c>
      <c r="EY148" s="125">
        <f t="shared" si="28"/>
        <v>0.6849315068</v>
      </c>
      <c r="EZ148" s="116">
        <f t="shared" si="29"/>
        <v>1</v>
      </c>
      <c r="FA148" s="125">
        <f t="shared" si="30"/>
        <v>0.4383561644</v>
      </c>
      <c r="FB148" s="116">
        <f t="shared" si="31"/>
        <v>1</v>
      </c>
      <c r="FC148" s="125">
        <f t="shared" si="32"/>
        <v>0.08219178082</v>
      </c>
      <c r="FD148" s="116" t="str">
        <f t="shared" si="33"/>
        <v>No</v>
      </c>
      <c r="FE148" s="125">
        <f t="shared" si="34"/>
        <v>0.7534246575</v>
      </c>
      <c r="FF148" s="116" t="str">
        <f t="shared" ref="FF148:FH148" si="356">BJ148</f>
        <v>Yes</v>
      </c>
      <c r="FG148" s="116" t="str">
        <f t="shared" si="356"/>
        <v>No</v>
      </c>
      <c r="FH148" s="116" t="str">
        <f t="shared" si="356"/>
        <v>No</v>
      </c>
      <c r="FI148" s="112"/>
      <c r="FJ148" s="116" t="str">
        <f t="shared" si="36"/>
        <v>Recurring</v>
      </c>
      <c r="FK148" s="125">
        <f t="shared" si="37"/>
        <v>0.397260274</v>
      </c>
      <c r="FL148" s="116" t="str">
        <f t="shared" si="38"/>
        <v>B2B</v>
      </c>
      <c r="FM148" s="125">
        <f t="shared" si="39"/>
        <v>0.2465753425</v>
      </c>
      <c r="FN148" s="116" t="str">
        <f t="shared" si="40"/>
        <v>High</v>
      </c>
      <c r="FO148" s="125">
        <f t="shared" si="41"/>
        <v>0.5616438356</v>
      </c>
      <c r="FP148" s="116" t="str">
        <f t="shared" si="42"/>
        <v>High</v>
      </c>
      <c r="FQ148" s="125">
        <f t="shared" si="43"/>
        <v>0.6438356164</v>
      </c>
      <c r="FR148" s="112"/>
      <c r="FS148" s="123">
        <f t="shared" si="44"/>
        <v>1</v>
      </c>
      <c r="FT148" s="123">
        <f t="shared" si="45"/>
        <v>1</v>
      </c>
      <c r="FU148" s="123">
        <f t="shared" si="46"/>
        <v>1</v>
      </c>
      <c r="FV148" s="123">
        <f t="shared" si="47"/>
        <v>5</v>
      </c>
      <c r="FW148" s="119">
        <f t="shared" si="48"/>
        <v>8</v>
      </c>
      <c r="FX148" s="115">
        <f>1+((FW148-MIN(performance_ratings_sums))*(4)/(MAX(performance_ratings_sums) - MIN(performance_ratings_sums)))</f>
        <v>1.485981308</v>
      </c>
      <c r="FY148" s="116" t="str">
        <f t="shared" si="49"/>
        <v>Pre-Product</v>
      </c>
      <c r="FZ148" s="126">
        <f t="shared" si="50"/>
        <v>0.2328767123</v>
      </c>
      <c r="GA148" s="112"/>
      <c r="GB148" s="127">
        <f t="shared" si="51"/>
        <v>1</v>
      </c>
      <c r="GC148" s="116" t="str">
        <f t="shared" si="52"/>
        <v>No</v>
      </c>
      <c r="GD148" s="126">
        <f t="shared" si="53"/>
        <v>0.7671232877</v>
      </c>
      <c r="GE148" s="126" t="str">
        <f t="shared" si="54"/>
        <v/>
      </c>
      <c r="GF148" s="126">
        <f t="shared" si="55"/>
        <v>0</v>
      </c>
      <c r="GG148" s="126" t="str">
        <f t="shared" si="56"/>
        <v/>
      </c>
      <c r="GH148" s="126">
        <f t="shared" si="57"/>
        <v>0</v>
      </c>
      <c r="GI148" s="112"/>
      <c r="GJ148" s="116"/>
      <c r="GK148" s="119">
        <f t="shared" si="58"/>
        <v>10.52244203</v>
      </c>
      <c r="GL148" s="128">
        <f>1+((GK148-MIN(ratings_sums))*(4)/(MAX(ratings_sums) - MIN(ratings_sums)))</f>
        <v>2.021301969</v>
      </c>
    </row>
    <row r="149" ht="15.75" customHeight="1">
      <c r="A149" s="161" t="s">
        <v>1128</v>
      </c>
      <c r="B149" s="15">
        <v>1775538.0</v>
      </c>
      <c r="C149" s="162" t="s">
        <v>1177</v>
      </c>
      <c r="D149" s="163">
        <v>43728.42847222222</v>
      </c>
      <c r="E149" s="15" t="s">
        <v>381</v>
      </c>
      <c r="F149" s="164" t="s">
        <v>1178</v>
      </c>
      <c r="G149" s="164" t="s">
        <v>1179</v>
      </c>
      <c r="H149" s="173">
        <v>43873.0</v>
      </c>
      <c r="I149" s="162" t="s">
        <v>1180</v>
      </c>
      <c r="J149" s="162" t="s">
        <v>1177</v>
      </c>
      <c r="K149" s="15" t="s">
        <v>220</v>
      </c>
      <c r="L149" s="15" t="s">
        <v>117</v>
      </c>
      <c r="M149" s="15" t="s">
        <v>81</v>
      </c>
      <c r="N149" s="15" t="s">
        <v>101</v>
      </c>
      <c r="O149" s="15" t="s">
        <v>35</v>
      </c>
      <c r="Q149" s="15" t="s">
        <v>121</v>
      </c>
      <c r="R149" s="166"/>
      <c r="S149" s="120"/>
      <c r="T149" s="69">
        <v>1.9201088E7</v>
      </c>
      <c r="U149" s="69"/>
      <c r="V149" s="132"/>
      <c r="W149" s="96" t="str">
        <f t="shared" si="125"/>
        <v/>
      </c>
      <c r="X149" s="98">
        <f t="shared" si="126"/>
        <v>19201088</v>
      </c>
      <c r="Y149" s="99" t="str">
        <f t="shared" si="127"/>
        <v>$18M - $20M</v>
      </c>
      <c r="Z149" s="15" t="s">
        <v>86</v>
      </c>
      <c r="AA149" s="15" t="s">
        <v>37</v>
      </c>
      <c r="AB149" s="15" t="s">
        <v>88</v>
      </c>
      <c r="AC149" s="15" t="s">
        <v>493</v>
      </c>
      <c r="AD149" s="15" t="s">
        <v>89</v>
      </c>
      <c r="AE149" s="15" t="s">
        <v>39</v>
      </c>
      <c r="AF149" s="15" t="s">
        <v>469</v>
      </c>
      <c r="AG149" s="69">
        <v>5.0E10</v>
      </c>
      <c r="AH149" s="97" t="str">
        <f t="shared" si="128"/>
        <v>$50B-$100B</v>
      </c>
      <c r="AI149" s="69">
        <v>1.1E10</v>
      </c>
      <c r="AJ149" s="97" t="str">
        <f t="shared" si="129"/>
        <v>$10B-$25B</v>
      </c>
      <c r="AK149" s="167">
        <v>0.3</v>
      </c>
      <c r="AL149" s="88" t="str">
        <f t="shared" si="130"/>
        <v>20%-30%</v>
      </c>
      <c r="AM149" s="15">
        <v>27.0</v>
      </c>
      <c r="AN149" s="15" t="s">
        <v>39</v>
      </c>
      <c r="AO149" s="15" t="s">
        <v>89</v>
      </c>
      <c r="AP149" s="15" t="s">
        <v>40</v>
      </c>
      <c r="AQ149" s="168"/>
      <c r="AR149" s="168"/>
      <c r="AS149" s="15" t="s">
        <v>493</v>
      </c>
      <c r="AT149" s="15" t="s">
        <v>493</v>
      </c>
      <c r="AU149" s="15" t="s">
        <v>493</v>
      </c>
      <c r="AV149" s="15" t="s">
        <v>493</v>
      </c>
      <c r="AW149" s="69">
        <v>813613.0</v>
      </c>
      <c r="AX149" s="96" t="str">
        <f t="shared" si="131"/>
        <v>$500K - $1M</v>
      </c>
      <c r="AY149" s="69">
        <v>6280.0</v>
      </c>
      <c r="AZ149" s="69">
        <v>3182473.0</v>
      </c>
      <c r="BA149" s="103" t="str">
        <f t="shared" si="132"/>
        <v>$3M - $4M</v>
      </c>
      <c r="BB149" s="103">
        <f t="shared" si="133"/>
        <v>0.001973308179</v>
      </c>
      <c r="BC149" s="103" t="str">
        <f t="shared" si="134"/>
        <v>&lt; 10%</v>
      </c>
      <c r="BD149" s="15" t="s">
        <v>107</v>
      </c>
      <c r="BF149" s="15" t="s">
        <v>469</v>
      </c>
      <c r="BG149" s="15">
        <v>0.0</v>
      </c>
      <c r="BH149" s="15">
        <v>1.0</v>
      </c>
      <c r="BI149" s="15" t="s">
        <v>493</v>
      </c>
      <c r="BJ149" s="15" t="s">
        <v>469</v>
      </c>
      <c r="BK149" s="15" t="s">
        <v>469</v>
      </c>
      <c r="BL149" s="15" t="s">
        <v>469</v>
      </c>
      <c r="BM149" s="15">
        <v>1.0</v>
      </c>
      <c r="BN149" s="15">
        <v>5.0</v>
      </c>
      <c r="BO149" s="15">
        <v>0.0</v>
      </c>
      <c r="BP149" s="15">
        <v>0.0</v>
      </c>
      <c r="BQ149" s="108"/>
      <c r="BR149" s="15">
        <v>30.0</v>
      </c>
      <c r="BS149" s="15">
        <v>0.0</v>
      </c>
      <c r="BT149" s="15">
        <v>0.0</v>
      </c>
      <c r="BU149" s="15">
        <v>67.0</v>
      </c>
      <c r="BV149" s="15" t="s">
        <v>493</v>
      </c>
      <c r="BW149" s="108"/>
      <c r="CC149" s="108"/>
      <c r="CI149" s="108"/>
      <c r="CO149" s="108"/>
      <c r="CU149" s="108"/>
      <c r="DA149" s="108"/>
      <c r="DG149" s="108"/>
      <c r="DM149" s="108"/>
      <c r="DS149" s="108"/>
      <c r="DT149" s="108"/>
      <c r="DU149" s="108"/>
      <c r="DW149" s="109"/>
      <c r="DX149" s="110">
        <f t="shared" si="13"/>
        <v>30</v>
      </c>
      <c r="DY149" s="111">
        <f t="shared" ref="DY149:DZ149" si="357">sum(BS149,BY149,CE149,CK149,CQ149,CW149,DC149,DI149,DO149)</f>
        <v>0</v>
      </c>
      <c r="DZ149" s="111">
        <f t="shared" si="357"/>
        <v>0</v>
      </c>
      <c r="EA149" s="110">
        <f t="shared" si="15"/>
        <v>67</v>
      </c>
      <c r="EB149" s="99" t="str">
        <f t="shared" si="16"/>
        <v>55+</v>
      </c>
      <c r="EC149" s="112"/>
      <c r="ED149" s="113">
        <f t="shared" si="17"/>
        <v>3.1</v>
      </c>
      <c r="EE149" s="114" t="str">
        <f>IF(V149 &lt;&gt; "", 1+((V149-MIN(discount_rates))*(4)/(MAX(discount_rates) - MIN(discount_rates))), "")</f>
        <v/>
      </c>
      <c r="EF149" s="114" t="str">
        <f>IF(Q149="Debt", (1+((S149-MIN(interest_rates))*(4)/(MAX(interest_rates) - MIN(interest_rates)))), "")</f>
        <v/>
      </c>
      <c r="EG149" s="114" t="str">
        <f>IF(OR(Q149="Revenue Share", Q149="Profit Share"), (1+((R149-MIN(return_mutiples))*(4)/(MAX(return_mutiples) - MIN(return_mutiples)))), "")</f>
        <v/>
      </c>
      <c r="EH149" s="115">
        <f t="shared" si="18"/>
        <v>3.1</v>
      </c>
      <c r="EI149" s="116" t="str">
        <f t="shared" si="19"/>
        <v>Equity - Common</v>
      </c>
      <c r="EJ149" s="117">
        <f t="shared" si="20"/>
        <v>0.3287671233</v>
      </c>
      <c r="EK149" s="116" t="str">
        <f t="shared" si="21"/>
        <v>Growth</v>
      </c>
      <c r="EL149" s="112"/>
      <c r="EM149" s="118">
        <f t="shared" si="22"/>
        <v>3.3</v>
      </c>
      <c r="EN149" s="118">
        <f t="shared" si="23"/>
        <v>3</v>
      </c>
      <c r="EO149" s="119">
        <f t="shared" si="24"/>
        <v>6.3</v>
      </c>
      <c r="EP149" s="115">
        <f>1+((EO149-MIN(market_ratings_sums))*(4)/(MAX(market_ratings_sums) - MIN(market_ratings_sums)))</f>
        <v>3.526315789</v>
      </c>
      <c r="EQ149" s="116" t="str">
        <f t="shared" si="25"/>
        <v>Yes</v>
      </c>
      <c r="ER149" s="112"/>
      <c r="ES149" s="123">
        <f>1+((DX149-MIN(industry_experiences))*(4)/(MAX(industry_experiences) - MIN(industry_experiences)))</f>
        <v>3.857142857</v>
      </c>
      <c r="ET149" s="123">
        <f>1+((DY149-MIN(previous_startups))*(4)/(MAX(previous_startups) - MIN(previous_startups)))</f>
        <v>1</v>
      </c>
      <c r="EU149" s="123">
        <f>1+((DZ149-MIN(exits))*(4)/(MAX(exits) - MIN(exits)))</f>
        <v>1</v>
      </c>
      <c r="EV149" s="119">
        <f t="shared" si="26"/>
        <v>5.857142857</v>
      </c>
      <c r="EW149" s="124">
        <f>1+((EV149-MIN(team_ratings_sums))*(4)/(MAX(team_ratings_sums) - MIN(team_ratings_sums)))</f>
        <v>2.565217391</v>
      </c>
      <c r="EX149" s="116" t="str">
        <f t="shared" si="27"/>
        <v>55+</v>
      </c>
      <c r="EY149" s="125">
        <f t="shared" si="28"/>
        <v>0.1095890411</v>
      </c>
      <c r="EZ149" s="116">
        <f t="shared" si="29"/>
        <v>1</v>
      </c>
      <c r="FA149" s="125">
        <f t="shared" si="30"/>
        <v>0.4383561644</v>
      </c>
      <c r="FB149" s="116">
        <f t="shared" si="31"/>
        <v>5</v>
      </c>
      <c r="FC149" s="125">
        <f t="shared" si="32"/>
        <v>0.1369863014</v>
      </c>
      <c r="FD149" s="116" t="str">
        <f t="shared" si="33"/>
        <v>Yes</v>
      </c>
      <c r="FE149" s="125">
        <f t="shared" si="34"/>
        <v>0.2465753425</v>
      </c>
      <c r="FF149" s="116" t="str">
        <f t="shared" ref="FF149:FH149" si="358">BJ149</f>
        <v>No</v>
      </c>
      <c r="FG149" s="116" t="str">
        <f t="shared" si="358"/>
        <v>No</v>
      </c>
      <c r="FH149" s="116" t="str">
        <f t="shared" si="358"/>
        <v>No</v>
      </c>
      <c r="FI149" s="112"/>
      <c r="FJ149" s="116" t="str">
        <f t="shared" si="36"/>
        <v>Recurring</v>
      </c>
      <c r="FK149" s="125">
        <f t="shared" si="37"/>
        <v>0.397260274</v>
      </c>
      <c r="FL149" s="116" t="str">
        <f t="shared" si="38"/>
        <v>B2B</v>
      </c>
      <c r="FM149" s="125">
        <f t="shared" si="39"/>
        <v>0.2465753425</v>
      </c>
      <c r="FN149" s="116" t="str">
        <f t="shared" si="40"/>
        <v>Low</v>
      </c>
      <c r="FO149" s="125">
        <f t="shared" si="41"/>
        <v>0.4383561644</v>
      </c>
      <c r="FP149" s="116" t="str">
        <f t="shared" si="42"/>
        <v>High</v>
      </c>
      <c r="FQ149" s="125">
        <f t="shared" si="43"/>
        <v>0.6438356164</v>
      </c>
      <c r="FR149" s="112"/>
      <c r="FS149" s="123">
        <f t="shared" si="44"/>
        <v>5</v>
      </c>
      <c r="FT149" s="123">
        <f t="shared" si="45"/>
        <v>2.8</v>
      </c>
      <c r="FU149" s="123">
        <f t="shared" si="46"/>
        <v>5</v>
      </c>
      <c r="FV149" s="123">
        <f t="shared" si="47"/>
        <v>1.9</v>
      </c>
      <c r="FW149" s="119">
        <f t="shared" si="48"/>
        <v>14.7</v>
      </c>
      <c r="FX149" s="115">
        <f>1+((FW149-MIN(performance_ratings_sums))*(4)/(MAX(performance_ratings_sums) - MIN(performance_ratings_sums)))</f>
        <v>3.990654206</v>
      </c>
      <c r="FY149" s="116" t="str">
        <f t="shared" si="49"/>
        <v>Pre-Profit</v>
      </c>
      <c r="FZ149" s="126">
        <f t="shared" si="50"/>
        <v>0.4931506849</v>
      </c>
      <c r="GA149" s="112"/>
      <c r="GB149" s="127">
        <f t="shared" si="51"/>
        <v>3</v>
      </c>
      <c r="GC149" s="116" t="str">
        <f t="shared" si="52"/>
        <v>Yes</v>
      </c>
      <c r="GD149" s="126">
        <f t="shared" si="53"/>
        <v>0.2328767123</v>
      </c>
      <c r="GE149" s="126" t="str">
        <f t="shared" si="54"/>
        <v/>
      </c>
      <c r="GF149" s="126">
        <f t="shared" si="55"/>
        <v>0</v>
      </c>
      <c r="GG149" s="126" t="str">
        <f t="shared" si="56"/>
        <v/>
      </c>
      <c r="GH149" s="126">
        <f t="shared" si="57"/>
        <v>0</v>
      </c>
      <c r="GI149" s="112"/>
      <c r="GJ149" s="116"/>
      <c r="GK149" s="119">
        <f t="shared" si="58"/>
        <v>16.18218739</v>
      </c>
      <c r="GL149" s="128">
        <f>1+((GK149-MIN(ratings_sums))*(4)/(MAX(ratings_sums) - MIN(ratings_sums)))</f>
        <v>3.757938052</v>
      </c>
    </row>
    <row r="150" ht="15.75" customHeight="1">
      <c r="A150" s="161" t="s">
        <v>1128</v>
      </c>
      <c r="B150" s="15">
        <v>1777011.0</v>
      </c>
      <c r="C150" s="162" t="s">
        <v>1181</v>
      </c>
      <c r="D150" s="163">
        <v>43728.43541666667</v>
      </c>
      <c r="E150" s="15" t="s">
        <v>381</v>
      </c>
      <c r="F150" s="164" t="s">
        <v>1182</v>
      </c>
      <c r="G150" s="164" t="s">
        <v>1183</v>
      </c>
      <c r="H150" s="173">
        <v>43882.0</v>
      </c>
      <c r="I150" s="162" t="s">
        <v>1184</v>
      </c>
      <c r="J150" s="162" t="s">
        <v>1181</v>
      </c>
      <c r="K150" s="15" t="s">
        <v>422</v>
      </c>
      <c r="L150" s="15" t="s">
        <v>390</v>
      </c>
      <c r="M150" s="15" t="s">
        <v>81</v>
      </c>
      <c r="N150" s="15" t="s">
        <v>101</v>
      </c>
      <c r="O150" s="15" t="s">
        <v>35</v>
      </c>
      <c r="Q150" s="15" t="s">
        <v>121</v>
      </c>
      <c r="R150" s="166"/>
      <c r="S150" s="120"/>
      <c r="T150" s="69">
        <v>6200000.0</v>
      </c>
      <c r="U150" s="69"/>
      <c r="V150" s="132"/>
      <c r="W150" s="96" t="str">
        <f t="shared" si="125"/>
        <v/>
      </c>
      <c r="X150" s="98">
        <f t="shared" si="126"/>
        <v>6200000</v>
      </c>
      <c r="Y150" s="99" t="str">
        <f t="shared" si="127"/>
        <v>$6M - $8M</v>
      </c>
      <c r="Z150" s="15" t="s">
        <v>36</v>
      </c>
      <c r="AA150" s="15" t="s">
        <v>123</v>
      </c>
      <c r="AB150" s="15" t="s">
        <v>38</v>
      </c>
      <c r="AC150" s="15" t="s">
        <v>493</v>
      </c>
      <c r="AD150" s="15" t="s">
        <v>89</v>
      </c>
      <c r="AE150" s="15" t="s">
        <v>89</v>
      </c>
      <c r="AF150" s="15" t="s">
        <v>469</v>
      </c>
      <c r="AG150" s="69">
        <v>7.98E9</v>
      </c>
      <c r="AH150" s="97" t="str">
        <f t="shared" si="128"/>
        <v>$5B-$10B</v>
      </c>
      <c r="AI150" s="69">
        <v>4.98E9</v>
      </c>
      <c r="AJ150" s="97" t="str">
        <f t="shared" si="129"/>
        <v>$1B-$5B</v>
      </c>
      <c r="AK150" s="167">
        <v>0.08</v>
      </c>
      <c r="AL150" s="88" t="str">
        <f t="shared" si="130"/>
        <v>0%-10%</v>
      </c>
      <c r="AM150" s="15">
        <v>3.0</v>
      </c>
      <c r="AN150" s="15" t="s">
        <v>39</v>
      </c>
      <c r="AO150" s="15" t="s">
        <v>89</v>
      </c>
      <c r="AP150" s="15" t="s">
        <v>90</v>
      </c>
      <c r="AQ150" s="168"/>
      <c r="AR150" s="168"/>
      <c r="AS150" s="15" t="s">
        <v>469</v>
      </c>
      <c r="AT150" s="15" t="s">
        <v>493</v>
      </c>
      <c r="AU150" s="15" t="s">
        <v>493</v>
      </c>
      <c r="AV150" s="15" t="s">
        <v>493</v>
      </c>
      <c r="AW150" s="69">
        <v>759911.0</v>
      </c>
      <c r="AX150" s="96" t="str">
        <f t="shared" si="131"/>
        <v>$500K - $1M</v>
      </c>
      <c r="AY150" s="69">
        <v>691.0</v>
      </c>
      <c r="AZ150" s="69">
        <v>466986.0</v>
      </c>
      <c r="BA150" s="103" t="str">
        <f t="shared" si="132"/>
        <v>$100K - $500K</v>
      </c>
      <c r="BB150" s="103">
        <f t="shared" si="133"/>
        <v>0.001479701747</v>
      </c>
      <c r="BC150" s="103" t="str">
        <f t="shared" si="134"/>
        <v>&lt; 10%</v>
      </c>
      <c r="BD150" s="15" t="s">
        <v>107</v>
      </c>
      <c r="BF150" s="15" t="s">
        <v>493</v>
      </c>
      <c r="BG150" s="15">
        <v>9.0</v>
      </c>
      <c r="BH150" s="15">
        <v>1.0</v>
      </c>
      <c r="BI150" s="15" t="s">
        <v>469</v>
      </c>
      <c r="BJ150" s="15" t="s">
        <v>469</v>
      </c>
      <c r="BK150" s="15" t="s">
        <v>493</v>
      </c>
      <c r="BL150" s="15" t="s">
        <v>469</v>
      </c>
      <c r="BM150" s="15">
        <v>1.0</v>
      </c>
      <c r="BN150" s="15">
        <v>2.0</v>
      </c>
      <c r="BO150" s="15">
        <v>0.0</v>
      </c>
      <c r="BP150" s="15">
        <v>0.0</v>
      </c>
      <c r="BQ150" s="108"/>
      <c r="BR150" s="15">
        <v>9.0</v>
      </c>
      <c r="BS150" s="15">
        <v>0.0</v>
      </c>
      <c r="BT150" s="15">
        <v>0.0</v>
      </c>
      <c r="BU150" s="15">
        <v>43.0</v>
      </c>
      <c r="BV150" s="15" t="s">
        <v>469</v>
      </c>
      <c r="BW150" s="108"/>
      <c r="CC150" s="108"/>
      <c r="CI150" s="108"/>
      <c r="CO150" s="108"/>
      <c r="CU150" s="108"/>
      <c r="DA150" s="108"/>
      <c r="DG150" s="108"/>
      <c r="DM150" s="108"/>
      <c r="DS150" s="108"/>
      <c r="DT150" s="108"/>
      <c r="DU150" s="108"/>
      <c r="DW150" s="109"/>
      <c r="DX150" s="110">
        <f t="shared" si="13"/>
        <v>9</v>
      </c>
      <c r="DY150" s="111">
        <f t="shared" ref="DY150:DZ150" si="359">sum(BS150,BY150,CE150,CK150,CQ150,CW150,DC150,DI150,DO150)</f>
        <v>0</v>
      </c>
      <c r="DZ150" s="111">
        <f t="shared" si="359"/>
        <v>0</v>
      </c>
      <c r="EA150" s="110">
        <f t="shared" si="15"/>
        <v>43</v>
      </c>
      <c r="EB150" s="99" t="str">
        <f t="shared" si="16"/>
        <v>35 - 54</v>
      </c>
      <c r="EC150" s="112"/>
      <c r="ED150" s="113">
        <f t="shared" si="17"/>
        <v>4.2</v>
      </c>
      <c r="EE150" s="114" t="str">
        <f>IF(V150 &lt;&gt; "", 1+((V150-MIN(discount_rates))*(4)/(MAX(discount_rates) - MIN(discount_rates))), "")</f>
        <v/>
      </c>
      <c r="EF150" s="114" t="str">
        <f>IF(Q150="Debt", (1+((S150-MIN(interest_rates))*(4)/(MAX(interest_rates) - MIN(interest_rates)))), "")</f>
        <v/>
      </c>
      <c r="EG150" s="114" t="str">
        <f>IF(OR(Q150="Revenue Share", Q150="Profit Share"), (1+((R150-MIN(return_mutiples))*(4)/(MAX(return_mutiples) - MIN(return_mutiples)))), "")</f>
        <v/>
      </c>
      <c r="EH150" s="115">
        <f t="shared" si="18"/>
        <v>4.2</v>
      </c>
      <c r="EI150" s="116" t="str">
        <f t="shared" si="19"/>
        <v>Equity - Common</v>
      </c>
      <c r="EJ150" s="117">
        <f t="shared" si="20"/>
        <v>0.3287671233</v>
      </c>
      <c r="EK150" s="116" t="str">
        <f t="shared" si="21"/>
        <v>Growth</v>
      </c>
      <c r="EL150" s="112"/>
      <c r="EM150" s="118">
        <f t="shared" si="22"/>
        <v>2.7</v>
      </c>
      <c r="EN150" s="118">
        <f t="shared" si="23"/>
        <v>1.7</v>
      </c>
      <c r="EO150" s="119">
        <f t="shared" si="24"/>
        <v>4.4</v>
      </c>
      <c r="EP150" s="115">
        <f>1+((EO150-MIN(market_ratings_sums))*(4)/(MAX(market_ratings_sums) - MIN(market_ratings_sums)))</f>
        <v>2.192982456</v>
      </c>
      <c r="EQ150" s="116" t="str">
        <f t="shared" si="25"/>
        <v>No</v>
      </c>
      <c r="ER150" s="112"/>
      <c r="ES150" s="123">
        <f>1+((DX150-MIN(industry_experiences))*(4)/(MAX(industry_experiences) - MIN(industry_experiences)))</f>
        <v>1.857142857</v>
      </c>
      <c r="ET150" s="123">
        <f>1+((DY150-MIN(previous_startups))*(4)/(MAX(previous_startups) - MIN(previous_startups)))</f>
        <v>1</v>
      </c>
      <c r="EU150" s="123">
        <f>1+((DZ150-MIN(exits))*(4)/(MAX(exits) - MIN(exits)))</f>
        <v>1</v>
      </c>
      <c r="EV150" s="119">
        <f t="shared" si="26"/>
        <v>3.857142857</v>
      </c>
      <c r="EW150" s="124">
        <f>1+((EV150-MIN(team_ratings_sums))*(4)/(MAX(team_ratings_sums) - MIN(team_ratings_sums)))</f>
        <v>1.469565217</v>
      </c>
      <c r="EX150" s="116" t="str">
        <f t="shared" si="27"/>
        <v>35 - 54</v>
      </c>
      <c r="EY150" s="125">
        <f t="shared" si="28"/>
        <v>0.6849315068</v>
      </c>
      <c r="EZ150" s="116">
        <f t="shared" si="29"/>
        <v>1</v>
      </c>
      <c r="FA150" s="125">
        <f t="shared" si="30"/>
        <v>0.4383561644</v>
      </c>
      <c r="FB150" s="116">
        <f t="shared" si="31"/>
        <v>2</v>
      </c>
      <c r="FC150" s="125">
        <f t="shared" si="32"/>
        <v>0.1369863014</v>
      </c>
      <c r="FD150" s="116" t="str">
        <f t="shared" si="33"/>
        <v>No</v>
      </c>
      <c r="FE150" s="125">
        <f t="shared" si="34"/>
        <v>0.7534246575</v>
      </c>
      <c r="FF150" s="116" t="str">
        <f t="shared" ref="FF150:FH150" si="360">BJ150</f>
        <v>No</v>
      </c>
      <c r="FG150" s="116" t="str">
        <f t="shared" si="360"/>
        <v>Yes</v>
      </c>
      <c r="FH150" s="116" t="str">
        <f t="shared" si="360"/>
        <v>No</v>
      </c>
      <c r="FI150" s="112"/>
      <c r="FJ150" s="116" t="str">
        <f t="shared" si="36"/>
        <v>Transactional</v>
      </c>
      <c r="FK150" s="125">
        <f t="shared" si="37"/>
        <v>0.602739726</v>
      </c>
      <c r="FL150" s="116" t="str">
        <f t="shared" si="38"/>
        <v>B2B/B2C</v>
      </c>
      <c r="FM150" s="125">
        <f t="shared" si="39"/>
        <v>0.3287671233</v>
      </c>
      <c r="FN150" s="116" t="str">
        <f t="shared" si="40"/>
        <v>Low</v>
      </c>
      <c r="FO150" s="125">
        <f t="shared" si="41"/>
        <v>0.4383561644</v>
      </c>
      <c r="FP150" s="116" t="str">
        <f t="shared" si="42"/>
        <v>Low</v>
      </c>
      <c r="FQ150" s="125">
        <f t="shared" si="43"/>
        <v>0.3561643836</v>
      </c>
      <c r="FR150" s="112"/>
      <c r="FS150" s="123">
        <f t="shared" si="44"/>
        <v>5</v>
      </c>
      <c r="FT150" s="123">
        <f t="shared" si="45"/>
        <v>2.8</v>
      </c>
      <c r="FU150" s="123">
        <f t="shared" si="46"/>
        <v>5</v>
      </c>
      <c r="FV150" s="123">
        <f t="shared" si="47"/>
        <v>3.7</v>
      </c>
      <c r="FW150" s="119">
        <f t="shared" si="48"/>
        <v>16.5</v>
      </c>
      <c r="FX150" s="115">
        <f>1+((FW150-MIN(performance_ratings_sums))*(4)/(MAX(performance_ratings_sums) - MIN(performance_ratings_sums)))</f>
        <v>4.663551402</v>
      </c>
      <c r="FY150" s="116" t="str">
        <f t="shared" si="49"/>
        <v>Pre-Profit</v>
      </c>
      <c r="FZ150" s="126">
        <f t="shared" si="50"/>
        <v>0.4931506849</v>
      </c>
      <c r="GA150" s="112"/>
      <c r="GB150" s="127">
        <f t="shared" si="51"/>
        <v>3</v>
      </c>
      <c r="GC150" s="116" t="str">
        <f t="shared" si="52"/>
        <v>Yes</v>
      </c>
      <c r="GD150" s="126">
        <f t="shared" si="53"/>
        <v>0.2328767123</v>
      </c>
      <c r="GE150" s="126" t="str">
        <f t="shared" si="54"/>
        <v/>
      </c>
      <c r="GF150" s="126">
        <f t="shared" si="55"/>
        <v>0</v>
      </c>
      <c r="GG150" s="126" t="str">
        <f t="shared" si="56"/>
        <v/>
      </c>
      <c r="GH150" s="126">
        <f t="shared" si="57"/>
        <v>0</v>
      </c>
      <c r="GI150" s="112"/>
      <c r="GJ150" s="116"/>
      <c r="GK150" s="119">
        <f t="shared" si="58"/>
        <v>15.52609908</v>
      </c>
      <c r="GL150" s="128">
        <f>1+((GK150-MIN(ratings_sums))*(4)/(MAX(ratings_sums) - MIN(ratings_sums)))</f>
        <v>3.556623936</v>
      </c>
    </row>
    <row r="151" ht="15.75" customHeight="1">
      <c r="A151" s="161" t="s">
        <v>1128</v>
      </c>
      <c r="B151" s="15">
        <v>1784186.0</v>
      </c>
      <c r="C151" s="162" t="s">
        <v>1185</v>
      </c>
      <c r="D151" s="163">
        <v>43731.41875</v>
      </c>
      <c r="E151" s="15" t="s">
        <v>392</v>
      </c>
      <c r="F151" s="164" t="s">
        <v>1186</v>
      </c>
      <c r="G151" s="164" t="s">
        <v>1187</v>
      </c>
      <c r="H151" s="173">
        <v>43714.0</v>
      </c>
      <c r="I151" s="162" t="s">
        <v>1188</v>
      </c>
      <c r="J151" s="162" t="s">
        <v>1185</v>
      </c>
      <c r="K151" s="15" t="s">
        <v>498</v>
      </c>
      <c r="L151" s="15" t="s">
        <v>390</v>
      </c>
      <c r="M151" s="15" t="s">
        <v>31</v>
      </c>
      <c r="N151" s="15" t="s">
        <v>32</v>
      </c>
      <c r="O151" s="15" t="s">
        <v>35</v>
      </c>
      <c r="Q151" s="15" t="s">
        <v>195</v>
      </c>
      <c r="R151" s="166"/>
      <c r="S151" s="120"/>
      <c r="T151" s="69"/>
      <c r="U151" s="69">
        <v>5000000.0</v>
      </c>
      <c r="V151" s="132">
        <v>0.0</v>
      </c>
      <c r="W151" s="96">
        <f t="shared" si="125"/>
        <v>5000000</v>
      </c>
      <c r="X151" s="98">
        <f t="shared" si="126"/>
        <v>5000000</v>
      </c>
      <c r="Y151" s="99" t="str">
        <f t="shared" si="127"/>
        <v>$4M - $6M</v>
      </c>
      <c r="Z151" s="15" t="s">
        <v>36</v>
      </c>
      <c r="AA151" s="15" t="s">
        <v>37</v>
      </c>
      <c r="AB151" s="15" t="s">
        <v>38</v>
      </c>
      <c r="AC151" s="15" t="s">
        <v>493</v>
      </c>
      <c r="AD151" s="15" t="s">
        <v>89</v>
      </c>
      <c r="AE151" s="15" t="s">
        <v>89</v>
      </c>
      <c r="AF151" s="15" t="s">
        <v>469</v>
      </c>
      <c r="AG151" s="69">
        <v>2.0E9</v>
      </c>
      <c r="AH151" s="97" t="str">
        <f t="shared" si="128"/>
        <v>$1B-$5B</v>
      </c>
      <c r="AI151" s="69">
        <v>2.0E9</v>
      </c>
      <c r="AJ151" s="97" t="str">
        <f t="shared" si="129"/>
        <v>$1B-$5B</v>
      </c>
      <c r="AK151" s="167">
        <v>0.09</v>
      </c>
      <c r="AL151" s="88" t="str">
        <f t="shared" si="130"/>
        <v>0%-10%</v>
      </c>
      <c r="AM151" s="32">
        <v>16021.0</v>
      </c>
      <c r="AN151" s="15" t="s">
        <v>89</v>
      </c>
      <c r="AO151" s="15" t="s">
        <v>89</v>
      </c>
      <c r="AP151" s="15" t="s">
        <v>40</v>
      </c>
      <c r="AQ151" s="168"/>
      <c r="AR151" s="168"/>
      <c r="AS151" s="15" t="s">
        <v>493</v>
      </c>
      <c r="AT151" s="15" t="s">
        <v>469</v>
      </c>
      <c r="AU151" s="15" t="s">
        <v>469</v>
      </c>
      <c r="AV151" s="15" t="s">
        <v>469</v>
      </c>
      <c r="AW151" s="69">
        <v>500.0</v>
      </c>
      <c r="AX151" s="96" t="str">
        <f t="shared" si="131"/>
        <v>&lt; $10K</v>
      </c>
      <c r="AY151" s="69">
        <v>49.0</v>
      </c>
      <c r="AZ151" s="69">
        <v>0.0</v>
      </c>
      <c r="BA151" s="103" t="str">
        <f t="shared" si="132"/>
        <v>&lt; $10K</v>
      </c>
      <c r="BB151" s="103">
        <f t="shared" si="133"/>
        <v>1</v>
      </c>
      <c r="BC151" s="103" t="str">
        <f t="shared" si="134"/>
        <v>90% - 100%</v>
      </c>
      <c r="BD151" s="15" t="s">
        <v>107</v>
      </c>
      <c r="BF151" s="15" t="s">
        <v>469</v>
      </c>
      <c r="BG151" s="15">
        <v>0.0</v>
      </c>
      <c r="BH151" s="15">
        <v>2.0</v>
      </c>
      <c r="BI151" s="15" t="s">
        <v>493</v>
      </c>
      <c r="BJ151" s="15" t="s">
        <v>493</v>
      </c>
      <c r="BK151" s="15" t="s">
        <v>493</v>
      </c>
      <c r="BL151" s="15" t="s">
        <v>469</v>
      </c>
      <c r="BM151" s="15">
        <v>3.0</v>
      </c>
      <c r="BN151" s="15">
        <v>2.0</v>
      </c>
      <c r="BO151" s="15">
        <v>0.0</v>
      </c>
      <c r="BP151" s="15">
        <v>0.0</v>
      </c>
      <c r="BQ151" s="108"/>
      <c r="BR151" s="15">
        <v>0.0</v>
      </c>
      <c r="BS151" s="15">
        <v>0.0</v>
      </c>
      <c r="BT151" s="15">
        <v>0.0</v>
      </c>
      <c r="BU151" s="15">
        <v>37.0</v>
      </c>
      <c r="BV151" s="15" t="s">
        <v>493</v>
      </c>
      <c r="BW151" s="108"/>
      <c r="BX151" s="15">
        <v>4.0</v>
      </c>
      <c r="BY151" s="15">
        <v>1.0</v>
      </c>
      <c r="BZ151" s="15">
        <v>1.0</v>
      </c>
      <c r="CB151" s="15" t="s">
        <v>469</v>
      </c>
      <c r="CC151" s="108"/>
      <c r="CI151" s="108"/>
      <c r="CO151" s="108"/>
      <c r="CU151" s="108"/>
      <c r="DA151" s="108"/>
      <c r="DG151" s="108"/>
      <c r="DM151" s="108"/>
      <c r="DS151" s="108"/>
      <c r="DT151" s="108"/>
      <c r="DU151" s="108"/>
      <c r="DW151" s="109"/>
      <c r="DX151" s="110">
        <f t="shared" si="13"/>
        <v>2</v>
      </c>
      <c r="DY151" s="111">
        <f t="shared" ref="DY151:DZ151" si="361">sum(BS151,BY151,CE151,CK151,CQ151,CW151,DC151,DI151,DO151)</f>
        <v>1</v>
      </c>
      <c r="DZ151" s="111">
        <f t="shared" si="361"/>
        <v>1</v>
      </c>
      <c r="EA151" s="110">
        <f t="shared" si="15"/>
        <v>37</v>
      </c>
      <c r="EB151" s="99" t="str">
        <f t="shared" si="16"/>
        <v>35 - 54</v>
      </c>
      <c r="EC151" s="112"/>
      <c r="ED151" s="113">
        <f t="shared" si="17"/>
        <v>4.4</v>
      </c>
      <c r="EE151" s="114">
        <f>IF(V151 &lt;&gt; "", 1+((V151-MIN(discount_rates))*(4)/(MAX(discount_rates) - MIN(discount_rates))), "")</f>
        <v>1</v>
      </c>
      <c r="EF151" s="114" t="str">
        <f>IF(Q151="Debt", (1+((S151-MIN(interest_rates))*(4)/(MAX(interest_rates) - MIN(interest_rates)))), "")</f>
        <v/>
      </c>
      <c r="EG151" s="114" t="str">
        <f>IF(OR(Q151="Revenue Share", Q151="Profit Share"), (1+((R151-MIN(return_mutiples))*(4)/(MAX(return_mutiples) - MIN(return_mutiples)))), "")</f>
        <v/>
      </c>
      <c r="EH151" s="115">
        <f t="shared" si="18"/>
        <v>4.4</v>
      </c>
      <c r="EI151" s="116" t="str">
        <f t="shared" si="19"/>
        <v>SAFE</v>
      </c>
      <c r="EJ151" s="117">
        <f t="shared" si="20"/>
        <v>0.3561643836</v>
      </c>
      <c r="EK151" s="116" t="str">
        <f t="shared" si="21"/>
        <v>Early</v>
      </c>
      <c r="EL151" s="112"/>
      <c r="EM151" s="118">
        <f t="shared" si="22"/>
        <v>2.7</v>
      </c>
      <c r="EN151" s="118">
        <f t="shared" si="23"/>
        <v>1.7</v>
      </c>
      <c r="EO151" s="119">
        <f t="shared" si="24"/>
        <v>4.4</v>
      </c>
      <c r="EP151" s="115">
        <f>1+((EO151-MIN(market_ratings_sums))*(4)/(MAX(market_ratings_sums) - MIN(market_ratings_sums)))</f>
        <v>2.192982456</v>
      </c>
      <c r="EQ151" s="116" t="str">
        <f t="shared" si="25"/>
        <v>Yes</v>
      </c>
      <c r="ER151" s="112"/>
      <c r="ES151" s="123">
        <f>1+((DX151-MIN(industry_experiences))*(4)/(MAX(industry_experiences) - MIN(industry_experiences)))</f>
        <v>1.19047619</v>
      </c>
      <c r="ET151" s="123">
        <f>1+((DY151-MIN(previous_startups))*(4)/(MAX(previous_startups) - MIN(previous_startups)))</f>
        <v>1.444444444</v>
      </c>
      <c r="EU151" s="123">
        <f>1+((DZ151-MIN(exits))*(4)/(MAX(exits) - MIN(exits)))</f>
        <v>2</v>
      </c>
      <c r="EV151" s="119">
        <f t="shared" si="26"/>
        <v>4.634920635</v>
      </c>
      <c r="EW151" s="124">
        <f>1+((EV151-MIN(team_ratings_sums))*(4)/(MAX(team_ratings_sums) - MIN(team_ratings_sums)))</f>
        <v>1.895652174</v>
      </c>
      <c r="EX151" s="116" t="str">
        <f t="shared" si="27"/>
        <v>35 - 54</v>
      </c>
      <c r="EY151" s="125">
        <f t="shared" si="28"/>
        <v>0.6849315068</v>
      </c>
      <c r="EZ151" s="116">
        <f t="shared" si="29"/>
        <v>2</v>
      </c>
      <c r="FA151" s="125">
        <f t="shared" si="30"/>
        <v>0.4520547945</v>
      </c>
      <c r="FB151" s="116">
        <f t="shared" si="31"/>
        <v>2</v>
      </c>
      <c r="FC151" s="125">
        <f t="shared" si="32"/>
        <v>0.1369863014</v>
      </c>
      <c r="FD151" s="116" t="str">
        <f t="shared" si="33"/>
        <v>Yes</v>
      </c>
      <c r="FE151" s="125">
        <f t="shared" si="34"/>
        <v>0.2465753425</v>
      </c>
      <c r="FF151" s="116" t="str">
        <f t="shared" ref="FF151:FH151" si="362">BJ151</f>
        <v>Yes</v>
      </c>
      <c r="FG151" s="116" t="str">
        <f t="shared" si="362"/>
        <v>Yes</v>
      </c>
      <c r="FH151" s="116" t="str">
        <f t="shared" si="362"/>
        <v>No</v>
      </c>
      <c r="FI151" s="112"/>
      <c r="FJ151" s="116" t="str">
        <f t="shared" si="36"/>
        <v>Transactional</v>
      </c>
      <c r="FK151" s="125">
        <f t="shared" si="37"/>
        <v>0.602739726</v>
      </c>
      <c r="FL151" s="116" t="str">
        <f t="shared" si="38"/>
        <v>B2B</v>
      </c>
      <c r="FM151" s="125">
        <f t="shared" si="39"/>
        <v>0.2465753425</v>
      </c>
      <c r="FN151" s="116" t="str">
        <f t="shared" si="40"/>
        <v>Low</v>
      </c>
      <c r="FO151" s="125">
        <f t="shared" si="41"/>
        <v>0.4383561644</v>
      </c>
      <c r="FP151" s="116" t="str">
        <f t="shared" si="42"/>
        <v>Low</v>
      </c>
      <c r="FQ151" s="125">
        <f t="shared" si="43"/>
        <v>0.3561643836</v>
      </c>
      <c r="FR151" s="112"/>
      <c r="FS151" s="123">
        <f t="shared" si="44"/>
        <v>1</v>
      </c>
      <c r="FT151" s="123">
        <f t="shared" si="45"/>
        <v>1</v>
      </c>
      <c r="FU151" s="123">
        <f t="shared" si="46"/>
        <v>1</v>
      </c>
      <c r="FV151" s="123">
        <f t="shared" si="47"/>
        <v>5</v>
      </c>
      <c r="FW151" s="119">
        <f t="shared" si="48"/>
        <v>8</v>
      </c>
      <c r="FX151" s="115">
        <f>1+((FW151-MIN(performance_ratings_sums))*(4)/(MAX(performance_ratings_sums) - MIN(performance_ratings_sums)))</f>
        <v>1.485981308</v>
      </c>
      <c r="FY151" s="116" t="str">
        <f t="shared" si="49"/>
        <v>Pre-Profit</v>
      </c>
      <c r="FZ151" s="126">
        <f t="shared" si="50"/>
        <v>0.4931506849</v>
      </c>
      <c r="GA151" s="112"/>
      <c r="GB151" s="127">
        <f t="shared" si="51"/>
        <v>1</v>
      </c>
      <c r="GC151" s="116" t="str">
        <f t="shared" si="52"/>
        <v>No</v>
      </c>
      <c r="GD151" s="126">
        <f t="shared" si="53"/>
        <v>0.7671232877</v>
      </c>
      <c r="GE151" s="126" t="str">
        <f t="shared" si="54"/>
        <v/>
      </c>
      <c r="GF151" s="126">
        <f t="shared" si="55"/>
        <v>0</v>
      </c>
      <c r="GG151" s="126" t="str">
        <f t="shared" si="56"/>
        <v/>
      </c>
      <c r="GH151" s="126">
        <f t="shared" si="57"/>
        <v>0</v>
      </c>
      <c r="GI151" s="112"/>
      <c r="GJ151" s="116"/>
      <c r="GK151" s="119">
        <f t="shared" si="58"/>
        <v>10.97461594</v>
      </c>
      <c r="GL151" s="128">
        <f>1+((GK151-MIN(ratings_sums))*(4)/(MAX(ratings_sums) - MIN(ratings_sums)))</f>
        <v>2.160046998</v>
      </c>
    </row>
    <row r="152" ht="15.75" customHeight="1">
      <c r="A152" s="161" t="s">
        <v>1128</v>
      </c>
      <c r="B152" s="15">
        <v>1777204.0</v>
      </c>
      <c r="C152" s="162" t="s">
        <v>1189</v>
      </c>
      <c r="D152" s="163">
        <v>43732.438888888886</v>
      </c>
      <c r="E152" s="15" t="s">
        <v>369</v>
      </c>
      <c r="F152" s="164" t="s">
        <v>1190</v>
      </c>
      <c r="G152" s="164" t="s">
        <v>1191</v>
      </c>
      <c r="H152" s="173">
        <v>43770.0</v>
      </c>
      <c r="I152" s="162" t="s">
        <v>1192</v>
      </c>
      <c r="J152" s="162" t="s">
        <v>1189</v>
      </c>
      <c r="K152" s="15" t="s">
        <v>153</v>
      </c>
      <c r="L152" s="15" t="s">
        <v>193</v>
      </c>
      <c r="M152" s="15" t="s">
        <v>31</v>
      </c>
      <c r="N152" s="15" t="s">
        <v>82</v>
      </c>
      <c r="O152" s="15" t="s">
        <v>35</v>
      </c>
      <c r="Q152" s="15" t="s">
        <v>195</v>
      </c>
      <c r="R152" s="166"/>
      <c r="S152" s="120"/>
      <c r="T152" s="69"/>
      <c r="U152" s="69">
        <v>1.5E7</v>
      </c>
      <c r="V152" s="132">
        <v>0.0</v>
      </c>
      <c r="W152" s="96">
        <f t="shared" si="125"/>
        <v>15000000</v>
      </c>
      <c r="X152" s="98">
        <f t="shared" si="126"/>
        <v>15000000</v>
      </c>
      <c r="Y152" s="99" t="str">
        <f t="shared" si="127"/>
        <v>$14M - $16M</v>
      </c>
      <c r="Z152" s="15" t="s">
        <v>36</v>
      </c>
      <c r="AA152" s="15" t="s">
        <v>87</v>
      </c>
      <c r="AB152" s="15" t="s">
        <v>88</v>
      </c>
      <c r="AC152" s="15" t="s">
        <v>493</v>
      </c>
      <c r="AD152" s="15" t="s">
        <v>89</v>
      </c>
      <c r="AE152" s="15" t="s">
        <v>89</v>
      </c>
      <c r="AF152" s="15" t="s">
        <v>469</v>
      </c>
      <c r="AG152" s="69">
        <v>1.35E11</v>
      </c>
      <c r="AH152" s="97" t="str">
        <f t="shared" si="128"/>
        <v>$100B-$250B</v>
      </c>
      <c r="AI152" s="69">
        <v>5.6E9</v>
      </c>
      <c r="AJ152" s="97" t="str">
        <f t="shared" si="129"/>
        <v>$5B-$10B</v>
      </c>
      <c r="AK152" s="167">
        <v>0.04</v>
      </c>
      <c r="AL152" s="88" t="str">
        <f t="shared" si="130"/>
        <v>0%-10%</v>
      </c>
      <c r="AM152" s="15">
        <v>13.0</v>
      </c>
      <c r="AN152" s="15" t="s">
        <v>89</v>
      </c>
      <c r="AO152" s="15" t="s">
        <v>89</v>
      </c>
      <c r="AP152" s="15" t="s">
        <v>90</v>
      </c>
      <c r="AQ152" s="168"/>
      <c r="AR152" s="168"/>
      <c r="AS152" s="15" t="s">
        <v>469</v>
      </c>
      <c r="AT152" s="15" t="s">
        <v>493</v>
      </c>
      <c r="AU152" s="15" t="s">
        <v>493</v>
      </c>
      <c r="AV152" s="15" t="s">
        <v>493</v>
      </c>
      <c r="AW152" s="69">
        <v>72144.0</v>
      </c>
      <c r="AX152" s="96" t="str">
        <f t="shared" si="131"/>
        <v>$50K - $100K</v>
      </c>
      <c r="AY152" s="69">
        <v>56156.0</v>
      </c>
      <c r="AZ152" s="69">
        <v>917981.0</v>
      </c>
      <c r="BA152" s="103" t="str">
        <f t="shared" si="132"/>
        <v>$500K - $1M</v>
      </c>
      <c r="BB152" s="103">
        <f t="shared" si="133"/>
        <v>0.06117337941</v>
      </c>
      <c r="BC152" s="103" t="str">
        <f t="shared" si="134"/>
        <v>&lt; 10%</v>
      </c>
      <c r="BD152" s="15" t="s">
        <v>107</v>
      </c>
      <c r="BF152" s="15" t="s">
        <v>493</v>
      </c>
      <c r="BG152" s="15">
        <v>80.0</v>
      </c>
      <c r="BH152" s="15">
        <v>3.0</v>
      </c>
      <c r="BI152" s="15" t="s">
        <v>493</v>
      </c>
      <c r="BJ152" s="15" t="s">
        <v>493</v>
      </c>
      <c r="BK152" s="15" t="s">
        <v>493</v>
      </c>
      <c r="BL152" s="15" t="s">
        <v>469</v>
      </c>
      <c r="BM152" s="15">
        <v>9.0</v>
      </c>
      <c r="BN152" s="15">
        <v>17.0</v>
      </c>
      <c r="BO152" s="15">
        <v>1.0</v>
      </c>
      <c r="BP152" s="15">
        <v>0.0</v>
      </c>
      <c r="BQ152" s="108"/>
      <c r="BR152" s="15">
        <v>4.0</v>
      </c>
      <c r="BS152" s="15">
        <v>0.0</v>
      </c>
      <c r="BT152" s="15">
        <v>0.0</v>
      </c>
      <c r="BU152" s="15">
        <v>31.0</v>
      </c>
      <c r="BV152" s="15" t="s">
        <v>493</v>
      </c>
      <c r="BW152" s="108"/>
      <c r="BX152" s="15">
        <v>3.0</v>
      </c>
      <c r="BY152" s="15">
        <v>1.0</v>
      </c>
      <c r="BZ152" s="15">
        <v>0.0</v>
      </c>
      <c r="CA152" s="15">
        <v>27.0</v>
      </c>
      <c r="CB152" s="15" t="s">
        <v>469</v>
      </c>
      <c r="CC152" s="108"/>
      <c r="CD152" s="15">
        <v>3.0</v>
      </c>
      <c r="CE152" s="15">
        <v>0.0</v>
      </c>
      <c r="CF152" s="15">
        <v>0.0</v>
      </c>
      <c r="CG152" s="15">
        <v>32.0</v>
      </c>
      <c r="CH152" s="15" t="s">
        <v>493</v>
      </c>
      <c r="CI152" s="108"/>
      <c r="CO152" s="108"/>
      <c r="CU152" s="108"/>
      <c r="DA152" s="108"/>
      <c r="DG152" s="108"/>
      <c r="DM152" s="108"/>
      <c r="DS152" s="108"/>
      <c r="DT152" s="108"/>
      <c r="DU152" s="108"/>
      <c r="DW152" s="109"/>
      <c r="DX152" s="110">
        <f t="shared" si="13"/>
        <v>3.333333333</v>
      </c>
      <c r="DY152" s="111">
        <f t="shared" ref="DY152:DZ152" si="363">sum(BS152,BY152,CE152,CK152,CQ152,CW152,DC152,DI152,DO152)</f>
        <v>1</v>
      </c>
      <c r="DZ152" s="111">
        <f t="shared" si="363"/>
        <v>0</v>
      </c>
      <c r="EA152" s="110">
        <f t="shared" si="15"/>
        <v>30</v>
      </c>
      <c r="EB152" s="99" t="str">
        <f t="shared" si="16"/>
        <v>20 - 34</v>
      </c>
      <c r="EC152" s="112"/>
      <c r="ED152" s="113">
        <f t="shared" si="17"/>
        <v>3.5</v>
      </c>
      <c r="EE152" s="114">
        <f>IF(V152 &lt;&gt; "", 1+((V152-MIN(discount_rates))*(4)/(MAX(discount_rates) - MIN(discount_rates))), "")</f>
        <v>1</v>
      </c>
      <c r="EF152" s="114" t="str">
        <f>IF(Q152="Debt", (1+((S152-MIN(interest_rates))*(4)/(MAX(interest_rates) - MIN(interest_rates)))), "")</f>
        <v/>
      </c>
      <c r="EG152" s="114" t="str">
        <f>IF(OR(Q152="Revenue Share", Q152="Profit Share"), (1+((R152-MIN(return_mutiples))*(4)/(MAX(return_mutiples) - MIN(return_mutiples)))), "")</f>
        <v/>
      </c>
      <c r="EH152" s="115">
        <f t="shared" si="18"/>
        <v>3.5</v>
      </c>
      <c r="EI152" s="116" t="str">
        <f t="shared" si="19"/>
        <v>SAFE</v>
      </c>
      <c r="EJ152" s="117">
        <f t="shared" si="20"/>
        <v>0.3561643836</v>
      </c>
      <c r="EK152" s="116" t="str">
        <f t="shared" si="21"/>
        <v>Early</v>
      </c>
      <c r="EL152" s="112"/>
      <c r="EM152" s="118">
        <f t="shared" si="22"/>
        <v>3</v>
      </c>
      <c r="EN152" s="118">
        <f t="shared" si="23"/>
        <v>1.7</v>
      </c>
      <c r="EO152" s="119">
        <f t="shared" si="24"/>
        <v>4.7</v>
      </c>
      <c r="EP152" s="115">
        <f>1+((EO152-MIN(market_ratings_sums))*(4)/(MAX(market_ratings_sums) - MIN(market_ratings_sums)))</f>
        <v>2.403508772</v>
      </c>
      <c r="EQ152" s="116" t="str">
        <f t="shared" si="25"/>
        <v>No</v>
      </c>
      <c r="ER152" s="112"/>
      <c r="ES152" s="123">
        <f>1+((DX152-MIN(industry_experiences))*(4)/(MAX(industry_experiences) - MIN(industry_experiences)))</f>
        <v>1.317460317</v>
      </c>
      <c r="ET152" s="123">
        <f>1+((DY152-MIN(previous_startups))*(4)/(MAX(previous_startups) - MIN(previous_startups)))</f>
        <v>1.444444444</v>
      </c>
      <c r="EU152" s="123">
        <f>1+((DZ152-MIN(exits))*(4)/(MAX(exits) - MIN(exits)))</f>
        <v>1</v>
      </c>
      <c r="EV152" s="119">
        <f t="shared" si="26"/>
        <v>3.761904762</v>
      </c>
      <c r="EW152" s="124">
        <f>1+((EV152-MIN(team_ratings_sums))*(4)/(MAX(team_ratings_sums) - MIN(team_ratings_sums)))</f>
        <v>1.417391304</v>
      </c>
      <c r="EX152" s="116" t="str">
        <f t="shared" si="27"/>
        <v>20 - 34</v>
      </c>
      <c r="EY152" s="125">
        <f t="shared" si="28"/>
        <v>0.2054794521</v>
      </c>
      <c r="EZ152" s="116">
        <f t="shared" si="29"/>
        <v>3</v>
      </c>
      <c r="FA152" s="125">
        <f t="shared" si="30"/>
        <v>0.05479452055</v>
      </c>
      <c r="FB152" s="116">
        <f t="shared" si="31"/>
        <v>17</v>
      </c>
      <c r="FC152" s="125">
        <f t="shared" si="32"/>
        <v>0</v>
      </c>
      <c r="FD152" s="116" t="str">
        <f t="shared" si="33"/>
        <v>Yes</v>
      </c>
      <c r="FE152" s="125">
        <f t="shared" si="34"/>
        <v>0.2465753425</v>
      </c>
      <c r="FF152" s="116" t="str">
        <f t="shared" ref="FF152:FH152" si="364">BJ152</f>
        <v>Yes</v>
      </c>
      <c r="FG152" s="116" t="str">
        <f t="shared" si="364"/>
        <v>Yes</v>
      </c>
      <c r="FH152" s="116" t="str">
        <f t="shared" si="364"/>
        <v>No</v>
      </c>
      <c r="FI152" s="112"/>
      <c r="FJ152" s="116" t="str">
        <f t="shared" si="36"/>
        <v>Transactional</v>
      </c>
      <c r="FK152" s="125">
        <f t="shared" si="37"/>
        <v>0.602739726</v>
      </c>
      <c r="FL152" s="116" t="str">
        <f t="shared" si="38"/>
        <v>B2C</v>
      </c>
      <c r="FM152" s="125">
        <f t="shared" si="39"/>
        <v>0.397260274</v>
      </c>
      <c r="FN152" s="116" t="str">
        <f t="shared" si="40"/>
        <v>Low</v>
      </c>
      <c r="FO152" s="125">
        <f t="shared" si="41"/>
        <v>0.4383561644</v>
      </c>
      <c r="FP152" s="116" t="str">
        <f t="shared" si="42"/>
        <v>Low</v>
      </c>
      <c r="FQ152" s="125">
        <f t="shared" si="43"/>
        <v>0.3561643836</v>
      </c>
      <c r="FR152" s="112"/>
      <c r="FS152" s="123">
        <f t="shared" si="44"/>
        <v>5</v>
      </c>
      <c r="FT152" s="123">
        <f t="shared" si="45"/>
        <v>1.9</v>
      </c>
      <c r="FU152" s="123">
        <f t="shared" si="46"/>
        <v>5</v>
      </c>
      <c r="FV152" s="123">
        <f t="shared" si="47"/>
        <v>3.2</v>
      </c>
      <c r="FW152" s="119">
        <f t="shared" si="48"/>
        <v>15.1</v>
      </c>
      <c r="FX152" s="115">
        <f>1+((FW152-MIN(performance_ratings_sums))*(4)/(MAX(performance_ratings_sums) - MIN(performance_ratings_sums)))</f>
        <v>4.140186916</v>
      </c>
      <c r="FY152" s="116" t="str">
        <f t="shared" si="49"/>
        <v>Pre-Profit</v>
      </c>
      <c r="FZ152" s="126">
        <f t="shared" si="50"/>
        <v>0.4931506849</v>
      </c>
      <c r="GA152" s="112"/>
      <c r="GB152" s="127">
        <f t="shared" si="51"/>
        <v>1</v>
      </c>
      <c r="GC152" s="116" t="str">
        <f t="shared" si="52"/>
        <v>Yes</v>
      </c>
      <c r="GD152" s="126">
        <f t="shared" si="53"/>
        <v>0.2328767123</v>
      </c>
      <c r="GE152" s="126" t="str">
        <f t="shared" si="54"/>
        <v/>
      </c>
      <c r="GF152" s="126">
        <f t="shared" si="55"/>
        <v>0</v>
      </c>
      <c r="GG152" s="126" t="str">
        <f t="shared" si="56"/>
        <v/>
      </c>
      <c r="GH152" s="126">
        <f t="shared" si="57"/>
        <v>0</v>
      </c>
      <c r="GI152" s="112"/>
      <c r="GJ152" s="116"/>
      <c r="GK152" s="119">
        <f t="shared" si="58"/>
        <v>12.46108699</v>
      </c>
      <c r="GL152" s="128">
        <f>1+((GK152-MIN(ratings_sums))*(4)/(MAX(ratings_sums) - MIN(ratings_sums)))</f>
        <v>2.616155728</v>
      </c>
    </row>
    <row r="153" ht="15.75" customHeight="1">
      <c r="A153" s="161" t="s">
        <v>1128</v>
      </c>
      <c r="B153" s="15">
        <v>1762281.0</v>
      </c>
      <c r="C153" s="162" t="s">
        <v>1193</v>
      </c>
      <c r="D153" s="163">
        <v>43735.57638888889</v>
      </c>
      <c r="E153" s="15" t="s">
        <v>363</v>
      </c>
      <c r="F153" s="164" t="s">
        <v>1194</v>
      </c>
      <c r="G153" s="164" t="s">
        <v>1195</v>
      </c>
      <c r="H153" s="173">
        <v>43735.0</v>
      </c>
      <c r="I153" s="162" t="s">
        <v>1196</v>
      </c>
      <c r="J153" s="162" t="s">
        <v>1197</v>
      </c>
      <c r="K153" s="15" t="s">
        <v>549</v>
      </c>
      <c r="L153" s="15" t="s">
        <v>390</v>
      </c>
      <c r="M153" s="15" t="s">
        <v>31</v>
      </c>
      <c r="N153" s="15" t="s">
        <v>32</v>
      </c>
      <c r="O153" s="15" t="s">
        <v>35</v>
      </c>
      <c r="Q153" s="15" t="s">
        <v>34</v>
      </c>
      <c r="R153" s="166"/>
      <c r="S153" s="120"/>
      <c r="T153" s="69"/>
      <c r="U153" s="69">
        <v>3960000.0</v>
      </c>
      <c r="V153" s="132">
        <v>0.0</v>
      </c>
      <c r="W153" s="96">
        <f t="shared" si="125"/>
        <v>3960000</v>
      </c>
      <c r="X153" s="98">
        <f t="shared" si="126"/>
        <v>3960000</v>
      </c>
      <c r="Y153" s="99" t="str">
        <f t="shared" si="127"/>
        <v>$2M - $4M</v>
      </c>
      <c r="Z153" s="15" t="s">
        <v>36</v>
      </c>
      <c r="AA153" s="15" t="s">
        <v>87</v>
      </c>
      <c r="AB153" s="15" t="s">
        <v>38</v>
      </c>
      <c r="AC153" s="15" t="s">
        <v>493</v>
      </c>
      <c r="AD153" s="15" t="s">
        <v>89</v>
      </c>
      <c r="AE153" s="15" t="s">
        <v>89</v>
      </c>
      <c r="AF153" s="15" t="s">
        <v>469</v>
      </c>
      <c r="AG153" s="69">
        <v>1.142E11</v>
      </c>
      <c r="AH153" s="97" t="str">
        <f t="shared" si="128"/>
        <v>$100B-$250B</v>
      </c>
      <c r="AI153" s="69">
        <v>2.76E10</v>
      </c>
      <c r="AJ153" s="97" t="str">
        <f t="shared" si="129"/>
        <v>$25B-$50B</v>
      </c>
      <c r="AK153" s="167">
        <v>0.04</v>
      </c>
      <c r="AL153" s="88" t="str">
        <f t="shared" si="130"/>
        <v>0%-10%</v>
      </c>
      <c r="AM153" s="32">
        <v>7450.0</v>
      </c>
      <c r="AN153" s="15" t="s">
        <v>89</v>
      </c>
      <c r="AO153" s="15" t="s">
        <v>89</v>
      </c>
      <c r="AP153" s="15" t="s">
        <v>40</v>
      </c>
      <c r="AQ153" s="168"/>
      <c r="AR153" s="168"/>
      <c r="AS153" s="15" t="s">
        <v>469</v>
      </c>
      <c r="AT153" s="15" t="s">
        <v>469</v>
      </c>
      <c r="AU153" s="15" t="s">
        <v>469</v>
      </c>
      <c r="AV153" s="15" t="s">
        <v>469</v>
      </c>
      <c r="AW153" s="69">
        <v>0.0</v>
      </c>
      <c r="AX153" s="96" t="str">
        <f t="shared" si="131"/>
        <v>&lt; $10K</v>
      </c>
      <c r="AY153" s="69">
        <v>0.0</v>
      </c>
      <c r="AZ153" s="69">
        <v>21700.0</v>
      </c>
      <c r="BA153" s="103" t="str">
        <f t="shared" si="132"/>
        <v>$10K - $50K</v>
      </c>
      <c r="BB153" s="103">
        <f t="shared" si="133"/>
        <v>1</v>
      </c>
      <c r="BC153" s="103" t="str">
        <f t="shared" si="134"/>
        <v>90% - 100%</v>
      </c>
      <c r="BD153" s="15" t="s">
        <v>41</v>
      </c>
      <c r="BF153" s="15" t="s">
        <v>469</v>
      </c>
      <c r="BG153" s="15">
        <v>0.0</v>
      </c>
      <c r="BH153" s="15">
        <v>1.0</v>
      </c>
      <c r="BI153" s="15" t="s">
        <v>493</v>
      </c>
      <c r="BJ153" s="15" t="s">
        <v>469</v>
      </c>
      <c r="BK153" s="15" t="s">
        <v>493</v>
      </c>
      <c r="BL153" s="15" t="s">
        <v>469</v>
      </c>
      <c r="BM153" s="15">
        <v>2.0</v>
      </c>
      <c r="BN153" s="15">
        <v>7.0</v>
      </c>
      <c r="BO153" s="15">
        <v>0.0</v>
      </c>
      <c r="BP153" s="15">
        <v>0.0</v>
      </c>
      <c r="BQ153" s="108"/>
      <c r="BR153" s="15">
        <v>6.0</v>
      </c>
      <c r="BS153" s="15">
        <v>2.0</v>
      </c>
      <c r="BT153" s="15">
        <v>0.0</v>
      </c>
      <c r="BU153" s="15">
        <v>27.0</v>
      </c>
      <c r="BV153" s="15" t="s">
        <v>469</v>
      </c>
      <c r="BW153" s="108"/>
      <c r="CC153" s="108"/>
      <c r="CI153" s="108"/>
      <c r="CO153" s="108"/>
      <c r="CU153" s="108"/>
      <c r="DA153" s="108"/>
      <c r="DG153" s="108"/>
      <c r="DM153" s="108"/>
      <c r="DS153" s="108"/>
      <c r="DT153" s="108"/>
      <c r="DU153" s="108"/>
      <c r="DW153" s="109"/>
      <c r="DX153" s="110">
        <f t="shared" si="13"/>
        <v>6</v>
      </c>
      <c r="DY153" s="111">
        <f t="shared" ref="DY153:DZ153" si="365">sum(BS153,BY153,CE153,CK153,CQ153,CW153,DC153,DI153,DO153)</f>
        <v>2</v>
      </c>
      <c r="DZ153" s="111">
        <f t="shared" si="365"/>
        <v>0</v>
      </c>
      <c r="EA153" s="110">
        <f t="shared" si="15"/>
        <v>27</v>
      </c>
      <c r="EB153" s="99" t="str">
        <f t="shared" si="16"/>
        <v>20 - 34</v>
      </c>
      <c r="EC153" s="112"/>
      <c r="ED153" s="113">
        <f t="shared" si="17"/>
        <v>4.6</v>
      </c>
      <c r="EE153" s="114">
        <f>IF(V153 &lt;&gt; "", 1+((V153-MIN(discount_rates))*(4)/(MAX(discount_rates) - MIN(discount_rates))), "")</f>
        <v>1</v>
      </c>
      <c r="EF153" s="114" t="str">
        <f>IF(Q153="Debt", (1+((S153-MIN(interest_rates))*(4)/(MAX(interest_rates) - MIN(interest_rates)))), "")</f>
        <v/>
      </c>
      <c r="EG153" s="114" t="str">
        <f>IF(OR(Q153="Revenue Share", Q153="Profit Share"), (1+((R153-MIN(return_mutiples))*(4)/(MAX(return_mutiples) - MIN(return_mutiples)))), "")</f>
        <v/>
      </c>
      <c r="EH153" s="115">
        <f t="shared" si="18"/>
        <v>4.6</v>
      </c>
      <c r="EI153" s="116" t="str">
        <f t="shared" si="19"/>
        <v>CAFES</v>
      </c>
      <c r="EJ153" s="117">
        <f t="shared" si="20"/>
        <v>0.1232876712</v>
      </c>
      <c r="EK153" s="116" t="str">
        <f t="shared" si="21"/>
        <v>Early</v>
      </c>
      <c r="EL153" s="112"/>
      <c r="EM153" s="118">
        <f t="shared" si="22"/>
        <v>3.6</v>
      </c>
      <c r="EN153" s="118">
        <f t="shared" si="23"/>
        <v>1.7</v>
      </c>
      <c r="EO153" s="119">
        <f t="shared" si="24"/>
        <v>5.3</v>
      </c>
      <c r="EP153" s="115">
        <f>1+((EO153-MIN(market_ratings_sums))*(4)/(MAX(market_ratings_sums) - MIN(market_ratings_sums)))</f>
        <v>2.824561404</v>
      </c>
      <c r="EQ153" s="116" t="str">
        <f t="shared" si="25"/>
        <v>No</v>
      </c>
      <c r="ER153" s="112"/>
      <c r="ES153" s="123">
        <f>1+((DX153-MIN(industry_experiences))*(4)/(MAX(industry_experiences) - MIN(industry_experiences)))</f>
        <v>1.571428571</v>
      </c>
      <c r="ET153" s="123">
        <f>1+((DY153-MIN(previous_startups))*(4)/(MAX(previous_startups) - MIN(previous_startups)))</f>
        <v>1.888888889</v>
      </c>
      <c r="EU153" s="123">
        <f>1+((DZ153-MIN(exits))*(4)/(MAX(exits) - MIN(exits)))</f>
        <v>1</v>
      </c>
      <c r="EV153" s="119">
        <f t="shared" si="26"/>
        <v>4.46031746</v>
      </c>
      <c r="EW153" s="124">
        <f>1+((EV153-MIN(team_ratings_sums))*(4)/(MAX(team_ratings_sums) - MIN(team_ratings_sums)))</f>
        <v>1.8</v>
      </c>
      <c r="EX153" s="116" t="str">
        <f t="shared" si="27"/>
        <v>20 - 34</v>
      </c>
      <c r="EY153" s="125">
        <f t="shared" si="28"/>
        <v>0.2054794521</v>
      </c>
      <c r="EZ153" s="116">
        <f t="shared" si="29"/>
        <v>1</v>
      </c>
      <c r="FA153" s="125">
        <f t="shared" si="30"/>
        <v>0.4383561644</v>
      </c>
      <c r="FB153" s="116">
        <f t="shared" si="31"/>
        <v>7</v>
      </c>
      <c r="FC153" s="125">
        <f t="shared" si="32"/>
        <v>0.04109589041</v>
      </c>
      <c r="FD153" s="116" t="str">
        <f t="shared" si="33"/>
        <v>Yes</v>
      </c>
      <c r="FE153" s="125">
        <f t="shared" si="34"/>
        <v>0.2465753425</v>
      </c>
      <c r="FF153" s="116" t="str">
        <f t="shared" ref="FF153:FH153" si="366">BJ153</f>
        <v>No</v>
      </c>
      <c r="FG153" s="116" t="str">
        <f t="shared" si="366"/>
        <v>Yes</v>
      </c>
      <c r="FH153" s="116" t="str">
        <f t="shared" si="366"/>
        <v>No</v>
      </c>
      <c r="FI153" s="112"/>
      <c r="FJ153" s="116" t="str">
        <f t="shared" si="36"/>
        <v>Transactional</v>
      </c>
      <c r="FK153" s="125">
        <f t="shared" si="37"/>
        <v>0.602739726</v>
      </c>
      <c r="FL153" s="116" t="str">
        <f t="shared" si="38"/>
        <v>B2C</v>
      </c>
      <c r="FM153" s="125">
        <f t="shared" si="39"/>
        <v>0.397260274</v>
      </c>
      <c r="FN153" s="116" t="str">
        <f t="shared" si="40"/>
        <v>Low</v>
      </c>
      <c r="FO153" s="125">
        <f t="shared" si="41"/>
        <v>0.4383561644</v>
      </c>
      <c r="FP153" s="116" t="str">
        <f t="shared" si="42"/>
        <v>Low</v>
      </c>
      <c r="FQ153" s="125">
        <f t="shared" si="43"/>
        <v>0.3561643836</v>
      </c>
      <c r="FR153" s="112"/>
      <c r="FS153" s="123">
        <f t="shared" si="44"/>
        <v>1</v>
      </c>
      <c r="FT153" s="123">
        <f t="shared" si="45"/>
        <v>1</v>
      </c>
      <c r="FU153" s="123">
        <f t="shared" si="46"/>
        <v>1</v>
      </c>
      <c r="FV153" s="123">
        <f t="shared" si="47"/>
        <v>4.6</v>
      </c>
      <c r="FW153" s="119">
        <f t="shared" si="48"/>
        <v>7.6</v>
      </c>
      <c r="FX153" s="115">
        <f>1+((FW153-MIN(performance_ratings_sums))*(4)/(MAX(performance_ratings_sums) - MIN(performance_ratings_sums)))</f>
        <v>1.336448598</v>
      </c>
      <c r="FY153" s="116" t="str">
        <f t="shared" si="49"/>
        <v>Pre-Product</v>
      </c>
      <c r="FZ153" s="126">
        <f t="shared" si="50"/>
        <v>0.2328767123</v>
      </c>
      <c r="GA153" s="112"/>
      <c r="GB153" s="127">
        <f t="shared" si="51"/>
        <v>1</v>
      </c>
      <c r="GC153" s="116" t="str">
        <f t="shared" si="52"/>
        <v>No</v>
      </c>
      <c r="GD153" s="126">
        <f t="shared" si="53"/>
        <v>0.7671232877</v>
      </c>
      <c r="GE153" s="126" t="str">
        <f t="shared" si="54"/>
        <v/>
      </c>
      <c r="GF153" s="126">
        <f t="shared" si="55"/>
        <v>0</v>
      </c>
      <c r="GG153" s="126" t="str">
        <f t="shared" si="56"/>
        <v/>
      </c>
      <c r="GH153" s="126">
        <f t="shared" si="57"/>
        <v>0</v>
      </c>
      <c r="GI153" s="112"/>
      <c r="GJ153" s="116"/>
      <c r="GK153" s="119">
        <f t="shared" si="58"/>
        <v>11.56101</v>
      </c>
      <c r="GL153" s="128">
        <f>1+((GK153-MIN(ratings_sums))*(4)/(MAX(ratings_sums) - MIN(ratings_sums)))</f>
        <v>2.339976133</v>
      </c>
    </row>
    <row r="154" ht="15.75" customHeight="1">
      <c r="A154" s="161" t="s">
        <v>1128</v>
      </c>
      <c r="B154" s="15">
        <v>1751525.0</v>
      </c>
      <c r="C154" s="162" t="s">
        <v>1198</v>
      </c>
      <c r="D154" s="163">
        <v>43738.41875</v>
      </c>
      <c r="E154" s="15" t="s">
        <v>369</v>
      </c>
      <c r="F154" s="164" t="s">
        <v>1199</v>
      </c>
      <c r="G154" s="164" t="s">
        <v>1200</v>
      </c>
      <c r="H154" s="173">
        <v>43819.0</v>
      </c>
      <c r="I154" s="162" t="s">
        <v>1201</v>
      </c>
      <c r="J154" s="162" t="s">
        <v>1198</v>
      </c>
      <c r="K154" s="15" t="s">
        <v>448</v>
      </c>
      <c r="L154" s="15" t="s">
        <v>133</v>
      </c>
      <c r="M154" s="15" t="s">
        <v>81</v>
      </c>
      <c r="N154" s="15" t="s">
        <v>82</v>
      </c>
      <c r="O154" s="15" t="s">
        <v>35</v>
      </c>
      <c r="Q154" s="15" t="s">
        <v>195</v>
      </c>
      <c r="R154" s="166"/>
      <c r="S154" s="120"/>
      <c r="T154" s="69"/>
      <c r="U154" s="69">
        <v>2500000.0</v>
      </c>
      <c r="V154" s="132">
        <v>0.2</v>
      </c>
      <c r="W154" s="96">
        <f t="shared" si="125"/>
        <v>2000000</v>
      </c>
      <c r="X154" s="98">
        <f t="shared" si="126"/>
        <v>2000000</v>
      </c>
      <c r="Y154" s="99" t="str">
        <f t="shared" si="127"/>
        <v>$1M - $2M</v>
      </c>
      <c r="Z154" s="15" t="s">
        <v>36</v>
      </c>
      <c r="AA154" s="15" t="s">
        <v>123</v>
      </c>
      <c r="AB154" s="15" t="s">
        <v>38</v>
      </c>
      <c r="AC154" s="15" t="s">
        <v>493</v>
      </c>
      <c r="AD154" s="15" t="s">
        <v>89</v>
      </c>
      <c r="AE154" s="15" t="s">
        <v>89</v>
      </c>
      <c r="AF154" s="15" t="s">
        <v>469</v>
      </c>
      <c r="AG154" s="69">
        <v>2.1959E10</v>
      </c>
      <c r="AH154" s="97" t="str">
        <f t="shared" si="128"/>
        <v>$10B-$25B</v>
      </c>
      <c r="AI154" s="69">
        <v>2.46655E8</v>
      </c>
      <c r="AJ154" s="97" t="str">
        <f t="shared" si="129"/>
        <v>$100M-$250M</v>
      </c>
      <c r="AK154" s="167">
        <v>0.09</v>
      </c>
      <c r="AL154" s="88" t="str">
        <f t="shared" si="130"/>
        <v>0%-10%</v>
      </c>
      <c r="AM154" s="32">
        <v>9.0</v>
      </c>
      <c r="AN154" s="15" t="s">
        <v>39</v>
      </c>
      <c r="AO154" s="15" t="s">
        <v>89</v>
      </c>
      <c r="AP154" s="15" t="s">
        <v>90</v>
      </c>
      <c r="AQ154" s="168"/>
      <c r="AR154" s="168"/>
      <c r="AS154" s="15" t="s">
        <v>469</v>
      </c>
      <c r="AT154" s="15" t="s">
        <v>469</v>
      </c>
      <c r="AU154" s="15" t="s">
        <v>493</v>
      </c>
      <c r="AV154" s="15" t="s">
        <v>493</v>
      </c>
      <c r="AW154" s="69">
        <v>109413.0</v>
      </c>
      <c r="AX154" s="96" t="str">
        <f t="shared" si="131"/>
        <v>$100K - $500K</v>
      </c>
      <c r="AY154" s="69">
        <v>710.0</v>
      </c>
      <c r="AZ154" s="69">
        <v>0.0</v>
      </c>
      <c r="BA154" s="103" t="str">
        <f t="shared" si="132"/>
        <v>&lt; $10K</v>
      </c>
      <c r="BB154" s="103">
        <f t="shared" si="133"/>
        <v>1</v>
      </c>
      <c r="BC154" s="103" t="str">
        <f t="shared" si="134"/>
        <v>90% - 100%</v>
      </c>
      <c r="BD154" s="15" t="s">
        <v>124</v>
      </c>
      <c r="BF154" s="15" t="s">
        <v>469</v>
      </c>
      <c r="BG154" s="15">
        <v>0.0</v>
      </c>
      <c r="BH154" s="15">
        <v>1.0</v>
      </c>
      <c r="BI154" s="15" t="s">
        <v>469</v>
      </c>
      <c r="BJ154" s="15" t="s">
        <v>493</v>
      </c>
      <c r="BK154" s="15" t="s">
        <v>493</v>
      </c>
      <c r="BL154" s="15" t="s">
        <v>469</v>
      </c>
      <c r="BM154" s="15">
        <v>1.0</v>
      </c>
      <c r="BN154" s="15">
        <v>1.0</v>
      </c>
      <c r="BO154" s="15">
        <v>0.0</v>
      </c>
      <c r="BP154" s="15">
        <v>0.0</v>
      </c>
      <c r="BQ154" s="108"/>
      <c r="BR154" s="15">
        <v>0.0</v>
      </c>
      <c r="BS154" s="15">
        <v>1.0</v>
      </c>
      <c r="BT154" s="15">
        <v>0.0</v>
      </c>
      <c r="BU154" s="15">
        <v>30.0</v>
      </c>
      <c r="BV154" s="15" t="s">
        <v>469</v>
      </c>
      <c r="BW154" s="108"/>
      <c r="CC154" s="108"/>
      <c r="CI154" s="108"/>
      <c r="CO154" s="108"/>
      <c r="CU154" s="108"/>
      <c r="DA154" s="108"/>
      <c r="DG154" s="108"/>
      <c r="DM154" s="108"/>
      <c r="DS154" s="108"/>
      <c r="DT154" s="108"/>
      <c r="DU154" s="108"/>
      <c r="DW154" s="109"/>
      <c r="DX154" s="110">
        <f t="shared" si="13"/>
        <v>0</v>
      </c>
      <c r="DY154" s="111">
        <f t="shared" ref="DY154:DZ154" si="367">sum(BS154,BY154,CE154,CK154,CQ154,CW154,DC154,DI154,DO154)</f>
        <v>1</v>
      </c>
      <c r="DZ154" s="111">
        <f t="shared" si="367"/>
        <v>0</v>
      </c>
      <c r="EA154" s="110">
        <f t="shared" si="15"/>
        <v>30</v>
      </c>
      <c r="EB154" s="99" t="str">
        <f t="shared" si="16"/>
        <v>20 - 34</v>
      </c>
      <c r="EC154" s="112"/>
      <c r="ED154" s="113">
        <f t="shared" si="17"/>
        <v>4.8</v>
      </c>
      <c r="EE154" s="114">
        <f>IF(V154 &lt;&gt; "", 1+((V154-MIN(discount_rates))*(4)/(MAX(discount_rates) - MIN(discount_rates))), "")</f>
        <v>3.105263158</v>
      </c>
      <c r="EF154" s="114" t="str">
        <f>IF(Q154="Debt", (1+((S154-MIN(interest_rates))*(4)/(MAX(interest_rates) - MIN(interest_rates)))), "")</f>
        <v/>
      </c>
      <c r="EG154" s="114" t="str">
        <f>IF(OR(Q154="Revenue Share", Q154="Profit Share"), (1+((R154-MIN(return_mutiples))*(4)/(MAX(return_mutiples) - MIN(return_mutiples)))), "")</f>
        <v/>
      </c>
      <c r="EH154" s="115">
        <f t="shared" si="18"/>
        <v>4.8</v>
      </c>
      <c r="EI154" s="116" t="str">
        <f t="shared" si="19"/>
        <v>SAFE</v>
      </c>
      <c r="EJ154" s="117">
        <f t="shared" si="20"/>
        <v>0.3561643836</v>
      </c>
      <c r="EK154" s="116" t="str">
        <f t="shared" si="21"/>
        <v>Growth</v>
      </c>
      <c r="EL154" s="112"/>
      <c r="EM154" s="118">
        <f t="shared" si="22"/>
        <v>1.9</v>
      </c>
      <c r="EN154" s="118">
        <f t="shared" si="23"/>
        <v>1.7</v>
      </c>
      <c r="EO154" s="119">
        <f t="shared" si="24"/>
        <v>3.6</v>
      </c>
      <c r="EP154" s="115">
        <f>1+((EO154-MIN(market_ratings_sums))*(4)/(MAX(market_ratings_sums) - MIN(market_ratings_sums)))</f>
        <v>1.631578947</v>
      </c>
      <c r="EQ154" s="116" t="str">
        <f t="shared" si="25"/>
        <v>No</v>
      </c>
      <c r="ER154" s="112"/>
      <c r="ES154" s="123">
        <f>1+((DX154-MIN(industry_experiences))*(4)/(MAX(industry_experiences) - MIN(industry_experiences)))</f>
        <v>1</v>
      </c>
      <c r="ET154" s="123">
        <f>1+((DY154-MIN(previous_startups))*(4)/(MAX(previous_startups) - MIN(previous_startups)))</f>
        <v>1.444444444</v>
      </c>
      <c r="EU154" s="123">
        <f>1+((DZ154-MIN(exits))*(4)/(MAX(exits) - MIN(exits)))</f>
        <v>1</v>
      </c>
      <c r="EV154" s="119">
        <f t="shared" si="26"/>
        <v>3.444444444</v>
      </c>
      <c r="EW154" s="124">
        <f>1+((EV154-MIN(team_ratings_sums))*(4)/(MAX(team_ratings_sums) - MIN(team_ratings_sums)))</f>
        <v>1.243478261</v>
      </c>
      <c r="EX154" s="116" t="str">
        <f t="shared" si="27"/>
        <v>20 - 34</v>
      </c>
      <c r="EY154" s="125">
        <f t="shared" si="28"/>
        <v>0.2054794521</v>
      </c>
      <c r="EZ154" s="116">
        <f t="shared" si="29"/>
        <v>1</v>
      </c>
      <c r="FA154" s="125">
        <f t="shared" si="30"/>
        <v>0.4383561644</v>
      </c>
      <c r="FB154" s="116">
        <f t="shared" si="31"/>
        <v>1</v>
      </c>
      <c r="FC154" s="125">
        <f t="shared" si="32"/>
        <v>0.08219178082</v>
      </c>
      <c r="FD154" s="116" t="str">
        <f t="shared" si="33"/>
        <v>No</v>
      </c>
      <c r="FE154" s="125">
        <f t="shared" si="34"/>
        <v>0.7534246575</v>
      </c>
      <c r="FF154" s="116" t="str">
        <f t="shared" ref="FF154:FH154" si="368">BJ154</f>
        <v>Yes</v>
      </c>
      <c r="FG154" s="116" t="str">
        <f t="shared" si="368"/>
        <v>Yes</v>
      </c>
      <c r="FH154" s="116" t="str">
        <f t="shared" si="368"/>
        <v>No</v>
      </c>
      <c r="FI154" s="112"/>
      <c r="FJ154" s="116" t="str">
        <f t="shared" si="36"/>
        <v>Transactional</v>
      </c>
      <c r="FK154" s="125">
        <f t="shared" si="37"/>
        <v>0.602739726</v>
      </c>
      <c r="FL154" s="116" t="str">
        <f t="shared" si="38"/>
        <v>B2B/B2C</v>
      </c>
      <c r="FM154" s="125">
        <f t="shared" si="39"/>
        <v>0.3287671233</v>
      </c>
      <c r="FN154" s="116" t="str">
        <f t="shared" si="40"/>
        <v>Low</v>
      </c>
      <c r="FO154" s="125">
        <f t="shared" si="41"/>
        <v>0.4383561644</v>
      </c>
      <c r="FP154" s="116" t="str">
        <f t="shared" si="42"/>
        <v>Low</v>
      </c>
      <c r="FQ154" s="125">
        <f t="shared" si="43"/>
        <v>0.3561643836</v>
      </c>
      <c r="FR154" s="112"/>
      <c r="FS154" s="123">
        <f t="shared" si="44"/>
        <v>5</v>
      </c>
      <c r="FT154" s="123">
        <f t="shared" si="45"/>
        <v>2.3</v>
      </c>
      <c r="FU154" s="123">
        <f t="shared" si="46"/>
        <v>1</v>
      </c>
      <c r="FV154" s="123">
        <f t="shared" si="47"/>
        <v>5</v>
      </c>
      <c r="FW154" s="119">
        <f t="shared" si="48"/>
        <v>13.3</v>
      </c>
      <c r="FX154" s="115">
        <f>1+((FW154-MIN(performance_ratings_sums))*(4)/(MAX(performance_ratings_sums) - MIN(performance_ratings_sums)))</f>
        <v>3.46728972</v>
      </c>
      <c r="FY154" s="116" t="str">
        <f t="shared" si="49"/>
        <v>Profitable</v>
      </c>
      <c r="FZ154" s="126">
        <f t="shared" si="50"/>
        <v>0.06849315068</v>
      </c>
      <c r="GA154" s="112"/>
      <c r="GB154" s="127">
        <f t="shared" si="51"/>
        <v>3</v>
      </c>
      <c r="GC154" s="116" t="str">
        <f t="shared" si="52"/>
        <v>No</v>
      </c>
      <c r="GD154" s="126">
        <f t="shared" si="53"/>
        <v>0.7671232877</v>
      </c>
      <c r="GE154" s="126" t="str">
        <f t="shared" si="54"/>
        <v/>
      </c>
      <c r="GF154" s="126">
        <f t="shared" si="55"/>
        <v>0</v>
      </c>
      <c r="GG154" s="126" t="str">
        <f t="shared" si="56"/>
        <v/>
      </c>
      <c r="GH154" s="126">
        <f t="shared" si="57"/>
        <v>0</v>
      </c>
      <c r="GI154" s="112"/>
      <c r="GJ154" s="116"/>
      <c r="GK154" s="119">
        <f t="shared" si="58"/>
        <v>14.14234693</v>
      </c>
      <c r="GL154" s="128">
        <f>1+((GK154-MIN(ratings_sums))*(4)/(MAX(ratings_sums) - MIN(ratings_sums)))</f>
        <v>3.132033472</v>
      </c>
    </row>
    <row r="155" ht="15.75" customHeight="1">
      <c r="A155" s="161" t="s">
        <v>1128</v>
      </c>
      <c r="B155" s="15">
        <v>1752095.0</v>
      </c>
      <c r="C155" s="162" t="s">
        <v>1202</v>
      </c>
      <c r="D155" s="163">
        <v>43739.48333333333</v>
      </c>
      <c r="E155" s="15" t="s">
        <v>343</v>
      </c>
      <c r="F155" s="164" t="s">
        <v>1203</v>
      </c>
      <c r="G155" s="164" t="s">
        <v>1204</v>
      </c>
      <c r="H155" s="173">
        <v>43759.0</v>
      </c>
      <c r="I155" s="162" t="s">
        <v>1205</v>
      </c>
      <c r="J155" s="162" t="s">
        <v>1202</v>
      </c>
      <c r="K155" s="15" t="s">
        <v>457</v>
      </c>
      <c r="L155" s="15" t="s">
        <v>390</v>
      </c>
      <c r="M155" s="15" t="s">
        <v>31</v>
      </c>
      <c r="N155" s="15" t="s">
        <v>82</v>
      </c>
      <c r="O155" s="15" t="s">
        <v>35</v>
      </c>
      <c r="Q155" s="15" t="s">
        <v>121</v>
      </c>
      <c r="R155" s="166"/>
      <c r="S155" s="120"/>
      <c r="T155" s="69">
        <v>5000000.0</v>
      </c>
      <c r="U155" s="69"/>
      <c r="V155" s="132"/>
      <c r="W155" s="96" t="str">
        <f t="shared" si="125"/>
        <v/>
      </c>
      <c r="X155" s="98">
        <f t="shared" si="126"/>
        <v>5000000</v>
      </c>
      <c r="Y155" s="99" t="str">
        <f t="shared" si="127"/>
        <v>$4M - $6M</v>
      </c>
      <c r="Z155" s="15" t="s">
        <v>36</v>
      </c>
      <c r="AA155" s="15" t="s">
        <v>87</v>
      </c>
      <c r="AB155" s="15" t="s">
        <v>38</v>
      </c>
      <c r="AC155" s="15" t="s">
        <v>493</v>
      </c>
      <c r="AD155" s="15" t="s">
        <v>89</v>
      </c>
      <c r="AE155" s="15" t="s">
        <v>89</v>
      </c>
      <c r="AF155" s="15" t="s">
        <v>469</v>
      </c>
      <c r="AG155" s="69">
        <v>8.42E10</v>
      </c>
      <c r="AH155" s="97" t="str">
        <f t="shared" si="128"/>
        <v>$50B-$100B</v>
      </c>
      <c r="AI155" s="69">
        <v>8.42E10</v>
      </c>
      <c r="AJ155" s="97" t="str">
        <f t="shared" si="129"/>
        <v>$50B-$100B</v>
      </c>
      <c r="AK155" s="167">
        <v>0.07</v>
      </c>
      <c r="AL155" s="88" t="str">
        <f t="shared" si="130"/>
        <v>0%-10%</v>
      </c>
      <c r="AM155" s="15">
        <v>6.0</v>
      </c>
      <c r="AN155" s="15" t="s">
        <v>89</v>
      </c>
      <c r="AO155" s="15" t="s">
        <v>89</v>
      </c>
      <c r="AP155" s="15" t="s">
        <v>40</v>
      </c>
      <c r="AQ155" s="168"/>
      <c r="AR155" s="168"/>
      <c r="AS155" s="15" t="s">
        <v>469</v>
      </c>
      <c r="AT155" s="15" t="s">
        <v>469</v>
      </c>
      <c r="AU155" s="15" t="s">
        <v>493</v>
      </c>
      <c r="AV155" s="15" t="s">
        <v>493</v>
      </c>
      <c r="AW155" s="69">
        <v>199139.0</v>
      </c>
      <c r="AX155" s="96" t="str">
        <f t="shared" si="131"/>
        <v>$100K - $500K</v>
      </c>
      <c r="AY155" s="69">
        <v>840.0</v>
      </c>
      <c r="AZ155" s="69">
        <v>36207.0</v>
      </c>
      <c r="BA155" s="103" t="str">
        <f t="shared" si="132"/>
        <v>$10K - $50K</v>
      </c>
      <c r="BB155" s="103">
        <f t="shared" si="133"/>
        <v>0.02319993371</v>
      </c>
      <c r="BC155" s="103" t="str">
        <f t="shared" si="134"/>
        <v>&lt; 10%</v>
      </c>
      <c r="BD155" s="15" t="s">
        <v>107</v>
      </c>
      <c r="BF155" s="15" t="s">
        <v>493</v>
      </c>
      <c r="BG155" s="15">
        <v>0.0</v>
      </c>
      <c r="BH155" s="15">
        <v>1.0</v>
      </c>
      <c r="BI155" s="15" t="s">
        <v>493</v>
      </c>
      <c r="BJ155" s="15" t="s">
        <v>469</v>
      </c>
      <c r="BK155" s="15" t="s">
        <v>469</v>
      </c>
      <c r="BL155" s="15" t="s">
        <v>469</v>
      </c>
      <c r="BM155" s="15">
        <v>2.0</v>
      </c>
      <c r="BN155" s="15">
        <v>4.0</v>
      </c>
      <c r="BO155" s="15">
        <v>0.0</v>
      </c>
      <c r="BP155" s="15">
        <v>0.0</v>
      </c>
      <c r="BQ155" s="108"/>
      <c r="BR155" s="15">
        <v>17.0</v>
      </c>
      <c r="BS155" s="15">
        <v>0.0</v>
      </c>
      <c r="BT155" s="15">
        <v>0.0</v>
      </c>
      <c r="BU155" s="15">
        <v>43.0</v>
      </c>
      <c r="BV155" s="15" t="s">
        <v>469</v>
      </c>
      <c r="BW155" s="108"/>
      <c r="CC155" s="108"/>
      <c r="CI155" s="108"/>
      <c r="CO155" s="108"/>
      <c r="CU155" s="108"/>
      <c r="DA155" s="108"/>
      <c r="DG155" s="108"/>
      <c r="DM155" s="108"/>
      <c r="DS155" s="108"/>
      <c r="DT155" s="108"/>
      <c r="DU155" s="108"/>
      <c r="DW155" s="109"/>
      <c r="DX155" s="110">
        <f t="shared" si="13"/>
        <v>17</v>
      </c>
      <c r="DY155" s="111">
        <f t="shared" ref="DY155:DZ155" si="369">sum(BS155,BY155,CE155,CK155,CQ155,CW155,DC155,DI155,DO155)</f>
        <v>0</v>
      </c>
      <c r="DZ155" s="111">
        <f t="shared" si="369"/>
        <v>0</v>
      </c>
      <c r="EA155" s="110">
        <f t="shared" si="15"/>
        <v>43</v>
      </c>
      <c r="EB155" s="99" t="str">
        <f t="shared" si="16"/>
        <v>35 - 54</v>
      </c>
      <c r="EC155" s="112"/>
      <c r="ED155" s="113">
        <f t="shared" si="17"/>
        <v>4.4</v>
      </c>
      <c r="EE155" s="114" t="str">
        <f>IF(V155 &lt;&gt; "", 1+((V155-MIN(discount_rates))*(4)/(MAX(discount_rates) - MIN(discount_rates))), "")</f>
        <v/>
      </c>
      <c r="EF155" s="114" t="str">
        <f>IF(Q155="Debt", (1+((S155-MIN(interest_rates))*(4)/(MAX(interest_rates) - MIN(interest_rates)))), "")</f>
        <v/>
      </c>
      <c r="EG155" s="114" t="str">
        <f>IF(OR(Q155="Revenue Share", Q155="Profit Share"), (1+((R155-MIN(return_mutiples))*(4)/(MAX(return_mutiples) - MIN(return_mutiples)))), "")</f>
        <v/>
      </c>
      <c r="EH155" s="115">
        <f t="shared" si="18"/>
        <v>4.4</v>
      </c>
      <c r="EI155" s="116" t="str">
        <f t="shared" si="19"/>
        <v>Equity - Common</v>
      </c>
      <c r="EJ155" s="117">
        <f t="shared" si="20"/>
        <v>0.3287671233</v>
      </c>
      <c r="EK155" s="116" t="str">
        <f t="shared" si="21"/>
        <v>Early</v>
      </c>
      <c r="EL155" s="112"/>
      <c r="EM155" s="118">
        <f t="shared" si="22"/>
        <v>3.9</v>
      </c>
      <c r="EN155" s="118">
        <f t="shared" si="23"/>
        <v>1.7</v>
      </c>
      <c r="EO155" s="119">
        <f t="shared" si="24"/>
        <v>5.6</v>
      </c>
      <c r="EP155" s="115">
        <f>1+((EO155-MIN(market_ratings_sums))*(4)/(MAX(market_ratings_sums) - MIN(market_ratings_sums)))</f>
        <v>3.035087719</v>
      </c>
      <c r="EQ155" s="116" t="str">
        <f t="shared" si="25"/>
        <v>No</v>
      </c>
      <c r="ER155" s="112"/>
      <c r="ES155" s="123">
        <f>1+((DX155-MIN(industry_experiences))*(4)/(MAX(industry_experiences) - MIN(industry_experiences)))</f>
        <v>2.619047619</v>
      </c>
      <c r="ET155" s="123">
        <f>1+((DY155-MIN(previous_startups))*(4)/(MAX(previous_startups) - MIN(previous_startups)))</f>
        <v>1</v>
      </c>
      <c r="EU155" s="123">
        <f>1+((DZ155-MIN(exits))*(4)/(MAX(exits) - MIN(exits)))</f>
        <v>1</v>
      </c>
      <c r="EV155" s="119">
        <f t="shared" si="26"/>
        <v>4.619047619</v>
      </c>
      <c r="EW155" s="124">
        <f>1+((EV155-MIN(team_ratings_sums))*(4)/(MAX(team_ratings_sums) - MIN(team_ratings_sums)))</f>
        <v>1.886956522</v>
      </c>
      <c r="EX155" s="116" t="str">
        <f t="shared" si="27"/>
        <v>35 - 54</v>
      </c>
      <c r="EY155" s="125">
        <f t="shared" si="28"/>
        <v>0.6849315068</v>
      </c>
      <c r="EZ155" s="116">
        <f t="shared" si="29"/>
        <v>1</v>
      </c>
      <c r="FA155" s="125">
        <f t="shared" si="30"/>
        <v>0.4383561644</v>
      </c>
      <c r="FB155" s="116">
        <f t="shared" si="31"/>
        <v>4</v>
      </c>
      <c r="FC155" s="125">
        <f t="shared" si="32"/>
        <v>0.1369863014</v>
      </c>
      <c r="FD155" s="116" t="str">
        <f t="shared" si="33"/>
        <v>Yes</v>
      </c>
      <c r="FE155" s="125">
        <f t="shared" si="34"/>
        <v>0.2465753425</v>
      </c>
      <c r="FF155" s="116" t="str">
        <f t="shared" ref="FF155:FH155" si="370">BJ155</f>
        <v>No</v>
      </c>
      <c r="FG155" s="116" t="str">
        <f t="shared" si="370"/>
        <v>No</v>
      </c>
      <c r="FH155" s="116" t="str">
        <f t="shared" si="370"/>
        <v>No</v>
      </c>
      <c r="FI155" s="112"/>
      <c r="FJ155" s="116" t="str">
        <f t="shared" si="36"/>
        <v>Transactional</v>
      </c>
      <c r="FK155" s="125">
        <f t="shared" si="37"/>
        <v>0.602739726</v>
      </c>
      <c r="FL155" s="116" t="str">
        <f t="shared" si="38"/>
        <v>B2C</v>
      </c>
      <c r="FM155" s="125">
        <f t="shared" si="39"/>
        <v>0.397260274</v>
      </c>
      <c r="FN155" s="116" t="str">
        <f t="shared" si="40"/>
        <v>Low</v>
      </c>
      <c r="FO155" s="125">
        <f t="shared" si="41"/>
        <v>0.4383561644</v>
      </c>
      <c r="FP155" s="116" t="str">
        <f t="shared" si="42"/>
        <v>Low</v>
      </c>
      <c r="FQ155" s="125">
        <f t="shared" si="43"/>
        <v>0.3561643836</v>
      </c>
      <c r="FR155" s="112"/>
      <c r="FS155" s="123">
        <f t="shared" si="44"/>
        <v>5</v>
      </c>
      <c r="FT155" s="123">
        <f t="shared" si="45"/>
        <v>2.3</v>
      </c>
      <c r="FU155" s="123">
        <f t="shared" si="46"/>
        <v>5</v>
      </c>
      <c r="FV155" s="123">
        <f t="shared" si="47"/>
        <v>4.6</v>
      </c>
      <c r="FW155" s="119">
        <f t="shared" si="48"/>
        <v>16.9</v>
      </c>
      <c r="FX155" s="115">
        <f>1+((FW155-MIN(performance_ratings_sums))*(4)/(MAX(performance_ratings_sums) - MIN(performance_ratings_sums)))</f>
        <v>4.813084112</v>
      </c>
      <c r="FY155" s="116" t="str">
        <f t="shared" si="49"/>
        <v>Pre-Profit</v>
      </c>
      <c r="FZ155" s="126">
        <f t="shared" si="50"/>
        <v>0.4931506849</v>
      </c>
      <c r="GA155" s="112"/>
      <c r="GB155" s="127">
        <f t="shared" si="51"/>
        <v>1</v>
      </c>
      <c r="GC155" s="116" t="str">
        <f t="shared" si="52"/>
        <v>No</v>
      </c>
      <c r="GD155" s="126">
        <f t="shared" si="53"/>
        <v>0.7671232877</v>
      </c>
      <c r="GE155" s="126" t="str">
        <f t="shared" si="54"/>
        <v/>
      </c>
      <c r="GF155" s="126">
        <f t="shared" si="55"/>
        <v>0</v>
      </c>
      <c r="GG155" s="126" t="str">
        <f t="shared" si="56"/>
        <v/>
      </c>
      <c r="GH155" s="126">
        <f t="shared" si="57"/>
        <v>0</v>
      </c>
      <c r="GI155" s="112"/>
      <c r="GJ155" s="116"/>
      <c r="GK155" s="119">
        <f t="shared" si="58"/>
        <v>15.13512835</v>
      </c>
      <c r="GL155" s="128">
        <f>1+((GK155-MIN(ratings_sums))*(4)/(MAX(ratings_sums) - MIN(ratings_sums)))</f>
        <v>3.436658492</v>
      </c>
    </row>
    <row r="156" ht="15.75" customHeight="1">
      <c r="A156" s="161" t="s">
        <v>1128</v>
      </c>
      <c r="B156" s="15">
        <v>1787006.0</v>
      </c>
      <c r="C156" s="162" t="s">
        <v>1206</v>
      </c>
      <c r="D156" s="163">
        <v>43741.44027777778</v>
      </c>
      <c r="E156" s="15" t="s">
        <v>350</v>
      </c>
      <c r="F156" s="164" t="s">
        <v>1207</v>
      </c>
      <c r="G156" s="164" t="s">
        <v>1208</v>
      </c>
      <c r="H156" s="173">
        <v>43858.0</v>
      </c>
      <c r="I156" s="162" t="s">
        <v>1209</v>
      </c>
      <c r="J156" s="162" t="s">
        <v>1206</v>
      </c>
      <c r="K156" s="15" t="s">
        <v>322</v>
      </c>
      <c r="L156" s="15" t="s">
        <v>99</v>
      </c>
      <c r="M156" s="15" t="s">
        <v>31</v>
      </c>
      <c r="N156" s="15" t="s">
        <v>82</v>
      </c>
      <c r="O156" s="15" t="s">
        <v>35</v>
      </c>
      <c r="Q156" s="15" t="s">
        <v>121</v>
      </c>
      <c r="R156" s="166"/>
      <c r="S156" s="120"/>
      <c r="T156" s="69">
        <v>1.9621196E7</v>
      </c>
      <c r="U156" s="69"/>
      <c r="V156" s="132"/>
      <c r="W156" s="96" t="str">
        <f t="shared" si="125"/>
        <v/>
      </c>
      <c r="X156" s="98">
        <f t="shared" si="126"/>
        <v>19621196</v>
      </c>
      <c r="Y156" s="99" t="str">
        <f t="shared" si="127"/>
        <v>$18M - $20M</v>
      </c>
      <c r="Z156" s="15" t="s">
        <v>36</v>
      </c>
      <c r="AA156" s="15" t="s">
        <v>37</v>
      </c>
      <c r="AB156" s="15" t="s">
        <v>88</v>
      </c>
      <c r="AC156" s="15" t="s">
        <v>493</v>
      </c>
      <c r="AD156" s="15" t="s">
        <v>39</v>
      </c>
      <c r="AE156" s="15" t="s">
        <v>39</v>
      </c>
      <c r="AF156" s="15" t="s">
        <v>469</v>
      </c>
      <c r="AG156" s="69">
        <v>2.43E9</v>
      </c>
      <c r="AH156" s="97" t="str">
        <f t="shared" si="128"/>
        <v>$1B-$5B</v>
      </c>
      <c r="AI156" s="69">
        <v>2.43E9</v>
      </c>
      <c r="AJ156" s="97" t="str">
        <f t="shared" si="129"/>
        <v>$1B-$5B</v>
      </c>
      <c r="AK156" s="167">
        <v>0.08</v>
      </c>
      <c r="AL156" s="88" t="str">
        <f t="shared" si="130"/>
        <v>0%-10%</v>
      </c>
      <c r="AM156" s="32">
        <v>12.0</v>
      </c>
      <c r="AN156" s="15" t="s">
        <v>89</v>
      </c>
      <c r="AO156" s="15" t="s">
        <v>89</v>
      </c>
      <c r="AP156" s="15" t="s">
        <v>90</v>
      </c>
      <c r="AQ156" s="168"/>
      <c r="AR156" s="168"/>
      <c r="AS156" s="15" t="s">
        <v>469</v>
      </c>
      <c r="AT156" s="15" t="s">
        <v>493</v>
      </c>
      <c r="AU156" s="15" t="s">
        <v>493</v>
      </c>
      <c r="AV156" s="15" t="s">
        <v>493</v>
      </c>
      <c r="AW156" s="69">
        <v>12142.0</v>
      </c>
      <c r="AX156" s="96" t="str">
        <f t="shared" si="131"/>
        <v>$10K - $50K</v>
      </c>
      <c r="AY156" s="69">
        <v>27828.0</v>
      </c>
      <c r="AZ156" s="69">
        <v>1602500.0</v>
      </c>
      <c r="BA156" s="103" t="str">
        <f t="shared" si="132"/>
        <v>$1M - $2M</v>
      </c>
      <c r="BB156" s="103">
        <f t="shared" si="133"/>
        <v>0.01736536661</v>
      </c>
      <c r="BC156" s="103" t="str">
        <f t="shared" si="134"/>
        <v>&lt; 10%</v>
      </c>
      <c r="BD156" s="15" t="s">
        <v>107</v>
      </c>
      <c r="BF156" s="15" t="s">
        <v>493</v>
      </c>
      <c r="BG156" s="15">
        <v>0.0</v>
      </c>
      <c r="BH156" s="15">
        <v>2.0</v>
      </c>
      <c r="BI156" s="15" t="s">
        <v>493</v>
      </c>
      <c r="BJ156" s="15" t="s">
        <v>469</v>
      </c>
      <c r="BK156" s="15" t="s">
        <v>469</v>
      </c>
      <c r="BL156" s="15" t="s">
        <v>469</v>
      </c>
      <c r="BM156" s="15">
        <v>4.0</v>
      </c>
      <c r="BN156" s="15">
        <v>2.0</v>
      </c>
      <c r="BO156" s="15">
        <v>4.0</v>
      </c>
      <c r="BP156" s="15">
        <v>0.0</v>
      </c>
      <c r="BQ156" s="108"/>
      <c r="BR156" s="15">
        <v>0.0</v>
      </c>
      <c r="BS156" s="15">
        <v>1.0</v>
      </c>
      <c r="BT156" s="15">
        <v>1.0</v>
      </c>
      <c r="BU156" s="15">
        <v>62.0</v>
      </c>
      <c r="BV156" s="15" t="s">
        <v>469</v>
      </c>
      <c r="BW156" s="108"/>
      <c r="BX156" s="15">
        <v>6.0</v>
      </c>
      <c r="BY156" s="15">
        <v>0.0</v>
      </c>
      <c r="BZ156" s="15">
        <v>0.0</v>
      </c>
      <c r="CA156" s="15">
        <v>43.0</v>
      </c>
      <c r="CB156" s="15" t="s">
        <v>493</v>
      </c>
      <c r="CC156" s="108"/>
      <c r="CI156" s="108"/>
      <c r="CO156" s="108"/>
      <c r="CU156" s="108"/>
      <c r="DA156" s="108"/>
      <c r="DG156" s="108"/>
      <c r="DM156" s="108"/>
      <c r="DS156" s="108"/>
      <c r="DT156" s="108"/>
      <c r="DU156" s="108"/>
      <c r="DW156" s="109"/>
      <c r="DX156" s="110">
        <f t="shared" si="13"/>
        <v>3</v>
      </c>
      <c r="DY156" s="111">
        <f t="shared" ref="DY156:DZ156" si="371">sum(BS156,BY156,CE156,CK156,CQ156,CW156,DC156,DI156,DO156)</f>
        <v>1</v>
      </c>
      <c r="DZ156" s="111">
        <f t="shared" si="371"/>
        <v>1</v>
      </c>
      <c r="EA156" s="110">
        <f t="shared" si="15"/>
        <v>52.5</v>
      </c>
      <c r="EB156" s="99" t="str">
        <f t="shared" si="16"/>
        <v>35 - 54</v>
      </c>
      <c r="EC156" s="112"/>
      <c r="ED156" s="113">
        <f t="shared" si="17"/>
        <v>3.1</v>
      </c>
      <c r="EE156" s="114" t="str">
        <f>IF(V156 &lt;&gt; "", 1+((V156-MIN(discount_rates))*(4)/(MAX(discount_rates) - MIN(discount_rates))), "")</f>
        <v/>
      </c>
      <c r="EF156" s="114" t="str">
        <f>IF(Q156="Debt", (1+((S156-MIN(interest_rates))*(4)/(MAX(interest_rates) - MIN(interest_rates)))), "")</f>
        <v/>
      </c>
      <c r="EG156" s="114" t="str">
        <f>IF(OR(Q156="Revenue Share", Q156="Profit Share"), (1+((R156-MIN(return_mutiples))*(4)/(MAX(return_mutiples) - MIN(return_mutiples)))), "")</f>
        <v/>
      </c>
      <c r="EH156" s="115">
        <f t="shared" si="18"/>
        <v>3.1</v>
      </c>
      <c r="EI156" s="116" t="str">
        <f t="shared" si="19"/>
        <v>Equity - Common</v>
      </c>
      <c r="EJ156" s="117">
        <f t="shared" si="20"/>
        <v>0.3287671233</v>
      </c>
      <c r="EK156" s="116" t="str">
        <f t="shared" si="21"/>
        <v>Early</v>
      </c>
      <c r="EL156" s="112"/>
      <c r="EM156" s="118">
        <f t="shared" si="22"/>
        <v>2.7</v>
      </c>
      <c r="EN156" s="118">
        <f t="shared" si="23"/>
        <v>1.7</v>
      </c>
      <c r="EO156" s="119">
        <f t="shared" si="24"/>
        <v>4.4</v>
      </c>
      <c r="EP156" s="115">
        <f>1+((EO156-MIN(market_ratings_sums))*(4)/(MAX(market_ratings_sums) - MIN(market_ratings_sums)))</f>
        <v>2.192982456</v>
      </c>
      <c r="EQ156" s="116" t="str">
        <f t="shared" si="25"/>
        <v>No</v>
      </c>
      <c r="ER156" s="112"/>
      <c r="ES156" s="123">
        <f>1+((DX156-MIN(industry_experiences))*(4)/(MAX(industry_experiences) - MIN(industry_experiences)))</f>
        <v>1.285714286</v>
      </c>
      <c r="ET156" s="123">
        <f>1+((DY156-MIN(previous_startups))*(4)/(MAX(previous_startups) - MIN(previous_startups)))</f>
        <v>1.444444444</v>
      </c>
      <c r="EU156" s="123">
        <f>1+((DZ156-MIN(exits))*(4)/(MAX(exits) - MIN(exits)))</f>
        <v>2</v>
      </c>
      <c r="EV156" s="119">
        <f t="shared" si="26"/>
        <v>4.73015873</v>
      </c>
      <c r="EW156" s="124">
        <f>1+((EV156-MIN(team_ratings_sums))*(4)/(MAX(team_ratings_sums) - MIN(team_ratings_sums)))</f>
        <v>1.947826087</v>
      </c>
      <c r="EX156" s="116" t="str">
        <f t="shared" si="27"/>
        <v>35 - 54</v>
      </c>
      <c r="EY156" s="125">
        <f t="shared" si="28"/>
        <v>0.6849315068</v>
      </c>
      <c r="EZ156" s="116">
        <f t="shared" si="29"/>
        <v>2</v>
      </c>
      <c r="FA156" s="125">
        <f t="shared" si="30"/>
        <v>0.4520547945</v>
      </c>
      <c r="FB156" s="116">
        <f t="shared" si="31"/>
        <v>2</v>
      </c>
      <c r="FC156" s="125">
        <f t="shared" si="32"/>
        <v>0.1369863014</v>
      </c>
      <c r="FD156" s="116" t="str">
        <f t="shared" si="33"/>
        <v>Yes</v>
      </c>
      <c r="FE156" s="125">
        <f t="shared" si="34"/>
        <v>0.2465753425</v>
      </c>
      <c r="FF156" s="116" t="str">
        <f t="shared" ref="FF156:FH156" si="372">BJ156</f>
        <v>No</v>
      </c>
      <c r="FG156" s="116" t="str">
        <f t="shared" si="372"/>
        <v>No</v>
      </c>
      <c r="FH156" s="116" t="str">
        <f t="shared" si="372"/>
        <v>No</v>
      </c>
      <c r="FI156" s="112"/>
      <c r="FJ156" s="116" t="str">
        <f t="shared" si="36"/>
        <v>Transactional</v>
      </c>
      <c r="FK156" s="125">
        <f t="shared" si="37"/>
        <v>0.602739726</v>
      </c>
      <c r="FL156" s="116" t="str">
        <f t="shared" si="38"/>
        <v>B2B</v>
      </c>
      <c r="FM156" s="125">
        <f t="shared" si="39"/>
        <v>0.2465753425</v>
      </c>
      <c r="FN156" s="116" t="str">
        <f t="shared" si="40"/>
        <v>High</v>
      </c>
      <c r="FO156" s="125">
        <f t="shared" si="41"/>
        <v>0.5616438356</v>
      </c>
      <c r="FP156" s="116" t="str">
        <f t="shared" si="42"/>
        <v>High</v>
      </c>
      <c r="FQ156" s="125">
        <f t="shared" si="43"/>
        <v>0.6438356164</v>
      </c>
      <c r="FR156" s="112"/>
      <c r="FS156" s="123">
        <f t="shared" si="44"/>
        <v>5</v>
      </c>
      <c r="FT156" s="123">
        <f t="shared" si="45"/>
        <v>1.4</v>
      </c>
      <c r="FU156" s="123">
        <f t="shared" si="46"/>
        <v>5</v>
      </c>
      <c r="FV156" s="123">
        <f t="shared" si="47"/>
        <v>2.8</v>
      </c>
      <c r="FW156" s="119">
        <f t="shared" si="48"/>
        <v>14.2</v>
      </c>
      <c r="FX156" s="115">
        <f>1+((FW156-MIN(performance_ratings_sums))*(4)/(MAX(performance_ratings_sums) - MIN(performance_ratings_sums)))</f>
        <v>3.803738318</v>
      </c>
      <c r="FY156" s="116" t="str">
        <f t="shared" si="49"/>
        <v>Pre-Profit</v>
      </c>
      <c r="FZ156" s="126">
        <f t="shared" si="50"/>
        <v>0.4931506849</v>
      </c>
      <c r="GA156" s="112"/>
      <c r="GB156" s="127">
        <f t="shared" si="51"/>
        <v>1</v>
      </c>
      <c r="GC156" s="116" t="str">
        <f t="shared" si="52"/>
        <v>Yes</v>
      </c>
      <c r="GD156" s="126">
        <f t="shared" si="53"/>
        <v>0.2328767123</v>
      </c>
      <c r="GE156" s="126" t="str">
        <f t="shared" si="54"/>
        <v/>
      </c>
      <c r="GF156" s="126">
        <f t="shared" si="55"/>
        <v>0</v>
      </c>
      <c r="GG156" s="126" t="str">
        <f t="shared" si="56"/>
        <v/>
      </c>
      <c r="GH156" s="126">
        <f t="shared" si="57"/>
        <v>0</v>
      </c>
      <c r="GI156" s="112"/>
      <c r="GJ156" s="116"/>
      <c r="GK156" s="119">
        <f t="shared" si="58"/>
        <v>12.04454686</v>
      </c>
      <c r="GL156" s="128">
        <f>1+((GK156-MIN(ratings_sums))*(4)/(MAX(ratings_sums) - MIN(ratings_sums)))</f>
        <v>2.488344568</v>
      </c>
    </row>
    <row r="157" ht="15.75" customHeight="1">
      <c r="A157" s="161" t="s">
        <v>1128</v>
      </c>
      <c r="B157" s="15">
        <v>1784191.0</v>
      </c>
      <c r="C157" s="162" t="s">
        <v>1210</v>
      </c>
      <c r="D157" s="163">
        <v>43741.44652777778</v>
      </c>
      <c r="E157" s="15" t="s">
        <v>369</v>
      </c>
      <c r="F157" s="164" t="s">
        <v>1211</v>
      </c>
      <c r="G157" s="164" t="s">
        <v>1212</v>
      </c>
      <c r="H157" s="173">
        <v>43775.0</v>
      </c>
      <c r="I157" s="162" t="s">
        <v>1213</v>
      </c>
      <c r="J157" s="162" t="s">
        <v>1210</v>
      </c>
      <c r="K157" s="15" t="s">
        <v>445</v>
      </c>
      <c r="L157" s="15" t="s">
        <v>221</v>
      </c>
      <c r="M157" s="15" t="s">
        <v>31</v>
      </c>
      <c r="N157" s="15" t="s">
        <v>32</v>
      </c>
      <c r="O157" s="15" t="s">
        <v>35</v>
      </c>
      <c r="Q157" s="15" t="s">
        <v>195</v>
      </c>
      <c r="R157" s="166"/>
      <c r="S157" s="120"/>
      <c r="T157" s="69"/>
      <c r="U157" s="69">
        <v>4000000.0</v>
      </c>
      <c r="V157" s="132">
        <v>0.2</v>
      </c>
      <c r="W157" s="96">
        <f t="shared" si="125"/>
        <v>3200000</v>
      </c>
      <c r="X157" s="98">
        <f t="shared" si="126"/>
        <v>3200000</v>
      </c>
      <c r="Y157" s="99" t="str">
        <f t="shared" si="127"/>
        <v>$2M - $4M</v>
      </c>
      <c r="Z157" s="15" t="s">
        <v>36</v>
      </c>
      <c r="AA157" s="15" t="s">
        <v>87</v>
      </c>
      <c r="AB157" s="15" t="s">
        <v>88</v>
      </c>
      <c r="AC157" s="15" t="s">
        <v>493</v>
      </c>
      <c r="AD157" s="15" t="s">
        <v>89</v>
      </c>
      <c r="AE157" s="15" t="s">
        <v>89</v>
      </c>
      <c r="AF157" s="15" t="s">
        <v>469</v>
      </c>
      <c r="AG157" s="69">
        <v>1.062E11</v>
      </c>
      <c r="AH157" s="97" t="str">
        <f t="shared" si="128"/>
        <v>$100B-$250B</v>
      </c>
      <c r="AI157" s="69">
        <v>8.24E9</v>
      </c>
      <c r="AJ157" s="97" t="str">
        <f t="shared" si="129"/>
        <v>$5B-$10B</v>
      </c>
      <c r="AK157" s="167">
        <v>-0.03</v>
      </c>
      <c r="AL157" s="88" t="str">
        <f t="shared" si="130"/>
        <v>&lt; 0% (Shrinking Market)</v>
      </c>
      <c r="AM157" s="15">
        <v>98.0</v>
      </c>
      <c r="AN157" s="15" t="s">
        <v>89</v>
      </c>
      <c r="AO157" s="15" t="s">
        <v>89</v>
      </c>
      <c r="AP157" s="15" t="s">
        <v>40</v>
      </c>
      <c r="AQ157" s="168"/>
      <c r="AR157" s="168"/>
      <c r="AS157" s="15" t="s">
        <v>493</v>
      </c>
      <c r="AT157" s="15" t="s">
        <v>469</v>
      </c>
      <c r="AU157" s="15" t="s">
        <v>469</v>
      </c>
      <c r="AV157" s="15" t="s">
        <v>469</v>
      </c>
      <c r="AW157" s="69">
        <v>0.0</v>
      </c>
      <c r="AX157" s="96" t="str">
        <f t="shared" si="131"/>
        <v>&lt; $10K</v>
      </c>
      <c r="AY157" s="69">
        <v>40.0</v>
      </c>
      <c r="AZ157" s="69">
        <v>98560.0</v>
      </c>
      <c r="BA157" s="103" t="str">
        <f t="shared" si="132"/>
        <v>$50K - $100K</v>
      </c>
      <c r="BB157" s="103">
        <f t="shared" si="133"/>
        <v>0.0004058441558</v>
      </c>
      <c r="BC157" s="103" t="str">
        <f t="shared" si="134"/>
        <v>&lt; 10%</v>
      </c>
      <c r="BD157" s="15" t="s">
        <v>91</v>
      </c>
      <c r="BF157" s="15" t="s">
        <v>469</v>
      </c>
      <c r="BG157" s="15">
        <v>0.0</v>
      </c>
      <c r="BH157" s="15">
        <v>2.0</v>
      </c>
      <c r="BI157" s="15" t="s">
        <v>469</v>
      </c>
      <c r="BJ157" s="15" t="s">
        <v>469</v>
      </c>
      <c r="BK157" s="15" t="s">
        <v>469</v>
      </c>
      <c r="BL157" s="15" t="s">
        <v>469</v>
      </c>
      <c r="BM157" s="15">
        <v>2.0</v>
      </c>
      <c r="BN157" s="15">
        <v>7.0</v>
      </c>
      <c r="BO157" s="15">
        <v>0.0</v>
      </c>
      <c r="BP157" s="15">
        <v>0.0</v>
      </c>
      <c r="BQ157" s="108"/>
      <c r="BR157" s="15">
        <v>0.0</v>
      </c>
      <c r="BS157" s="15">
        <v>1.0</v>
      </c>
      <c r="BT157" s="15">
        <v>0.0</v>
      </c>
      <c r="BU157" s="15">
        <v>22.0</v>
      </c>
      <c r="BV157" s="15" t="s">
        <v>469</v>
      </c>
      <c r="BW157" s="108"/>
      <c r="BX157" s="15">
        <v>0.0</v>
      </c>
      <c r="BY157" s="15">
        <v>0.0</v>
      </c>
      <c r="BZ157" s="15">
        <v>0.0</v>
      </c>
      <c r="CA157" s="15">
        <v>23.0</v>
      </c>
      <c r="CB157" s="15" t="s">
        <v>469</v>
      </c>
      <c r="CC157" s="108"/>
      <c r="CI157" s="108"/>
      <c r="CO157" s="108"/>
      <c r="CU157" s="108"/>
      <c r="DA157" s="108"/>
      <c r="DG157" s="108"/>
      <c r="DM157" s="108"/>
      <c r="DS157" s="108"/>
      <c r="DT157" s="108"/>
      <c r="DU157" s="108"/>
      <c r="DW157" s="109"/>
      <c r="DX157" s="110">
        <f t="shared" si="13"/>
        <v>0</v>
      </c>
      <c r="DY157" s="111">
        <f t="shared" ref="DY157:DZ157" si="373">sum(BS157,BY157,CE157,CK157,CQ157,CW157,DC157,DI157,DO157)</f>
        <v>1</v>
      </c>
      <c r="DZ157" s="111">
        <f t="shared" si="373"/>
        <v>0</v>
      </c>
      <c r="EA157" s="110">
        <f t="shared" si="15"/>
        <v>22.5</v>
      </c>
      <c r="EB157" s="99" t="str">
        <f t="shared" si="16"/>
        <v>20 - 34</v>
      </c>
      <c r="EC157" s="112"/>
      <c r="ED157" s="113">
        <f t="shared" si="17"/>
        <v>4.6</v>
      </c>
      <c r="EE157" s="114">
        <f>IF(V157 &lt;&gt; "", 1+((V157-MIN(discount_rates))*(4)/(MAX(discount_rates) - MIN(discount_rates))), "")</f>
        <v>3.105263158</v>
      </c>
      <c r="EF157" s="114" t="str">
        <f>IF(Q157="Debt", (1+((S157-MIN(interest_rates))*(4)/(MAX(interest_rates) - MIN(interest_rates)))), "")</f>
        <v/>
      </c>
      <c r="EG157" s="114" t="str">
        <f>IF(OR(Q157="Revenue Share", Q157="Profit Share"), (1+((R157-MIN(return_mutiples))*(4)/(MAX(return_mutiples) - MIN(return_mutiples)))), "")</f>
        <v/>
      </c>
      <c r="EH157" s="115">
        <f t="shared" si="18"/>
        <v>4.6</v>
      </c>
      <c r="EI157" s="116" t="str">
        <f t="shared" si="19"/>
        <v>SAFE</v>
      </c>
      <c r="EJ157" s="117">
        <f t="shared" si="20"/>
        <v>0.3561643836</v>
      </c>
      <c r="EK157" s="116" t="str">
        <f t="shared" si="21"/>
        <v>Early</v>
      </c>
      <c r="EL157" s="112"/>
      <c r="EM157" s="118">
        <f t="shared" si="22"/>
        <v>3</v>
      </c>
      <c r="EN157" s="118">
        <f t="shared" si="23"/>
        <v>1</v>
      </c>
      <c r="EO157" s="119">
        <f t="shared" si="24"/>
        <v>4</v>
      </c>
      <c r="EP157" s="115">
        <f>1+((EO157-MIN(market_ratings_sums))*(4)/(MAX(market_ratings_sums) - MIN(market_ratings_sums)))</f>
        <v>1.912280702</v>
      </c>
      <c r="EQ157" s="116" t="str">
        <f t="shared" si="25"/>
        <v>Yes</v>
      </c>
      <c r="ER157" s="112"/>
      <c r="ES157" s="123">
        <f>1+((DX157-MIN(industry_experiences))*(4)/(MAX(industry_experiences) - MIN(industry_experiences)))</f>
        <v>1</v>
      </c>
      <c r="ET157" s="123">
        <f>1+((DY157-MIN(previous_startups))*(4)/(MAX(previous_startups) - MIN(previous_startups)))</f>
        <v>1.444444444</v>
      </c>
      <c r="EU157" s="123">
        <f>1+((DZ157-MIN(exits))*(4)/(MAX(exits) - MIN(exits)))</f>
        <v>1</v>
      </c>
      <c r="EV157" s="119">
        <f t="shared" si="26"/>
        <v>3.444444444</v>
      </c>
      <c r="EW157" s="124">
        <f>1+((EV157-MIN(team_ratings_sums))*(4)/(MAX(team_ratings_sums) - MIN(team_ratings_sums)))</f>
        <v>1.243478261</v>
      </c>
      <c r="EX157" s="116" t="str">
        <f t="shared" si="27"/>
        <v>20 - 34</v>
      </c>
      <c r="EY157" s="125">
        <f t="shared" si="28"/>
        <v>0.2054794521</v>
      </c>
      <c r="EZ157" s="116">
        <f t="shared" si="29"/>
        <v>2</v>
      </c>
      <c r="FA157" s="125">
        <f t="shared" si="30"/>
        <v>0.4520547945</v>
      </c>
      <c r="FB157" s="116">
        <f t="shared" si="31"/>
        <v>7</v>
      </c>
      <c r="FC157" s="125">
        <f t="shared" si="32"/>
        <v>0.04109589041</v>
      </c>
      <c r="FD157" s="116" t="str">
        <f t="shared" si="33"/>
        <v>No</v>
      </c>
      <c r="FE157" s="125">
        <f t="shared" si="34"/>
        <v>0.7534246575</v>
      </c>
      <c r="FF157" s="116" t="str">
        <f t="shared" ref="FF157:FH157" si="374">BJ157</f>
        <v>No</v>
      </c>
      <c r="FG157" s="116" t="str">
        <f t="shared" si="374"/>
        <v>No</v>
      </c>
      <c r="FH157" s="116" t="str">
        <f t="shared" si="374"/>
        <v>No</v>
      </c>
      <c r="FI157" s="112"/>
      <c r="FJ157" s="116" t="str">
        <f t="shared" si="36"/>
        <v>Transactional</v>
      </c>
      <c r="FK157" s="125">
        <f t="shared" si="37"/>
        <v>0.602739726</v>
      </c>
      <c r="FL157" s="116" t="str">
        <f t="shared" si="38"/>
        <v>B2C</v>
      </c>
      <c r="FM157" s="125">
        <f t="shared" si="39"/>
        <v>0.397260274</v>
      </c>
      <c r="FN157" s="116" t="str">
        <f t="shared" si="40"/>
        <v>Low</v>
      </c>
      <c r="FO157" s="125">
        <f t="shared" si="41"/>
        <v>0.4383561644</v>
      </c>
      <c r="FP157" s="116" t="str">
        <f t="shared" si="42"/>
        <v>Low</v>
      </c>
      <c r="FQ157" s="125">
        <f t="shared" si="43"/>
        <v>0.3561643836</v>
      </c>
      <c r="FR157" s="112"/>
      <c r="FS157" s="123">
        <f t="shared" si="44"/>
        <v>1</v>
      </c>
      <c r="FT157" s="123">
        <f t="shared" si="45"/>
        <v>1</v>
      </c>
      <c r="FU157" s="123">
        <f t="shared" si="46"/>
        <v>5</v>
      </c>
      <c r="FV157" s="123">
        <f t="shared" si="47"/>
        <v>4.1</v>
      </c>
      <c r="FW157" s="119">
        <f t="shared" si="48"/>
        <v>11.1</v>
      </c>
      <c r="FX157" s="115">
        <f>1+((FW157-MIN(performance_ratings_sums))*(4)/(MAX(performance_ratings_sums) - MIN(performance_ratings_sums)))</f>
        <v>2.644859813</v>
      </c>
      <c r="FY157" s="116" t="str">
        <f t="shared" si="49"/>
        <v>Pre-Revenue</v>
      </c>
      <c r="FZ157" s="126">
        <f t="shared" si="50"/>
        <v>0.2054794521</v>
      </c>
      <c r="GA157" s="112"/>
      <c r="GB157" s="127">
        <f t="shared" si="51"/>
        <v>1</v>
      </c>
      <c r="GC157" s="116" t="str">
        <f t="shared" si="52"/>
        <v>No</v>
      </c>
      <c r="GD157" s="126">
        <f t="shared" si="53"/>
        <v>0.7671232877</v>
      </c>
      <c r="GE157" s="126" t="str">
        <f t="shared" si="54"/>
        <v/>
      </c>
      <c r="GF157" s="126">
        <f t="shared" si="55"/>
        <v>0</v>
      </c>
      <c r="GG157" s="126" t="str">
        <f t="shared" si="56"/>
        <v/>
      </c>
      <c r="GH157" s="126">
        <f t="shared" si="57"/>
        <v>0</v>
      </c>
      <c r="GI157" s="112"/>
      <c r="GJ157" s="116"/>
      <c r="GK157" s="119">
        <f t="shared" si="58"/>
        <v>11.40061878</v>
      </c>
      <c r="GL157" s="128">
        <f>1+((GK157-MIN(ratings_sums))*(4)/(MAX(ratings_sums) - MIN(ratings_sums)))</f>
        <v>2.290761695</v>
      </c>
    </row>
    <row r="158" ht="15.75" customHeight="1">
      <c r="A158" s="161" t="s">
        <v>1128</v>
      </c>
      <c r="B158" s="15">
        <v>1790207.0</v>
      </c>
      <c r="C158" s="162" t="s">
        <v>1214</v>
      </c>
      <c r="D158" s="163">
        <v>43742.57430555556</v>
      </c>
      <c r="E158" s="15" t="s">
        <v>363</v>
      </c>
      <c r="F158" s="164" t="s">
        <v>1215</v>
      </c>
      <c r="G158" s="164" t="s">
        <v>1216</v>
      </c>
      <c r="H158" s="173">
        <v>43742.0</v>
      </c>
      <c r="I158" s="162" t="s">
        <v>1217</v>
      </c>
      <c r="J158" s="162" t="s">
        <v>1214</v>
      </c>
      <c r="K158" s="15" t="s">
        <v>524</v>
      </c>
      <c r="L158" s="15" t="s">
        <v>390</v>
      </c>
      <c r="M158" s="15" t="s">
        <v>31</v>
      </c>
      <c r="N158" s="15" t="s">
        <v>82</v>
      </c>
      <c r="O158" s="15" t="s">
        <v>35</v>
      </c>
      <c r="Q158" s="15" t="s">
        <v>34</v>
      </c>
      <c r="R158" s="166"/>
      <c r="S158" s="120"/>
      <c r="T158" s="69"/>
      <c r="U158" s="69">
        <v>7920000.0</v>
      </c>
      <c r="V158" s="132">
        <v>0.0</v>
      </c>
      <c r="W158" s="96">
        <f t="shared" si="125"/>
        <v>7920000</v>
      </c>
      <c r="X158" s="98">
        <f t="shared" si="126"/>
        <v>7920000</v>
      </c>
      <c r="Y158" s="99" t="str">
        <f t="shared" si="127"/>
        <v>$6M - $8M</v>
      </c>
      <c r="Z158" s="15" t="s">
        <v>36</v>
      </c>
      <c r="AA158" s="15" t="s">
        <v>87</v>
      </c>
      <c r="AB158" s="15" t="s">
        <v>38</v>
      </c>
      <c r="AC158" s="15" t="s">
        <v>493</v>
      </c>
      <c r="AD158" s="15" t="s">
        <v>89</v>
      </c>
      <c r="AE158" s="15" t="s">
        <v>89</v>
      </c>
      <c r="AF158" s="15" t="s">
        <v>469</v>
      </c>
      <c r="AG158" s="69">
        <v>2.9925E10</v>
      </c>
      <c r="AH158" s="97" t="str">
        <f t="shared" si="128"/>
        <v>$25B-$50B</v>
      </c>
      <c r="AI158" s="69">
        <v>2.9925E10</v>
      </c>
      <c r="AJ158" s="97" t="str">
        <f t="shared" si="129"/>
        <v>$25B-$50B</v>
      </c>
      <c r="AK158" s="167">
        <v>0.06</v>
      </c>
      <c r="AL158" s="88" t="str">
        <f t="shared" si="130"/>
        <v>0%-10%</v>
      </c>
      <c r="AM158" s="15">
        <v>565.0</v>
      </c>
      <c r="AN158" s="15" t="s">
        <v>89</v>
      </c>
      <c r="AO158" s="15" t="s">
        <v>89</v>
      </c>
      <c r="AP158" s="15" t="s">
        <v>40</v>
      </c>
      <c r="AQ158" s="168"/>
      <c r="AR158" s="168"/>
      <c r="AS158" s="15" t="s">
        <v>469</v>
      </c>
      <c r="AT158" s="15" t="s">
        <v>469</v>
      </c>
      <c r="AU158" s="15" t="s">
        <v>469</v>
      </c>
      <c r="AV158" s="15" t="s">
        <v>469</v>
      </c>
      <c r="AW158" s="69">
        <v>0.0</v>
      </c>
      <c r="AX158" s="96" t="str">
        <f t="shared" si="131"/>
        <v>&lt; $10K</v>
      </c>
      <c r="AY158" s="69">
        <v>0.0</v>
      </c>
      <c r="AZ158" s="69">
        <v>50000.0</v>
      </c>
      <c r="BA158" s="103" t="str">
        <f t="shared" si="132"/>
        <v>$10K - $50K</v>
      </c>
      <c r="BB158" s="103">
        <f t="shared" si="133"/>
        <v>1</v>
      </c>
      <c r="BC158" s="103" t="str">
        <f t="shared" si="134"/>
        <v>90% - 100%</v>
      </c>
      <c r="BD158" s="15" t="s">
        <v>91</v>
      </c>
      <c r="BF158" s="15" t="s">
        <v>493</v>
      </c>
      <c r="BG158" s="15">
        <v>500.0</v>
      </c>
      <c r="BH158" s="15">
        <v>1.0</v>
      </c>
      <c r="BI158" s="15" t="s">
        <v>469</v>
      </c>
      <c r="BJ158" s="15" t="s">
        <v>493</v>
      </c>
      <c r="BK158" s="15" t="s">
        <v>469</v>
      </c>
      <c r="BL158" s="15" t="s">
        <v>469</v>
      </c>
      <c r="BM158" s="15">
        <v>2.0</v>
      </c>
      <c r="BN158" s="15">
        <v>2.0</v>
      </c>
      <c r="BO158" s="15">
        <v>0.0</v>
      </c>
      <c r="BP158" s="15">
        <v>0.0</v>
      </c>
      <c r="BQ158" s="108"/>
      <c r="BR158" s="15">
        <v>0.0</v>
      </c>
      <c r="BS158" s="15">
        <v>0.0</v>
      </c>
      <c r="BT158" s="15">
        <v>0.0</v>
      </c>
      <c r="BU158" s="15">
        <v>35.0</v>
      </c>
      <c r="BV158" s="15" t="s">
        <v>469</v>
      </c>
      <c r="BW158" s="108"/>
      <c r="CC158" s="108"/>
      <c r="CI158" s="108"/>
      <c r="CO158" s="108"/>
      <c r="CU158" s="108"/>
      <c r="DA158" s="108"/>
      <c r="DG158" s="108"/>
      <c r="DM158" s="108"/>
      <c r="DS158" s="108"/>
      <c r="DT158" s="108"/>
      <c r="DU158" s="108"/>
      <c r="DW158" s="109"/>
      <c r="DX158" s="110">
        <f t="shared" si="13"/>
        <v>0</v>
      </c>
      <c r="DY158" s="111">
        <f t="shared" ref="DY158:DZ158" si="375">sum(BS158,BY158,CE158,CK158,CQ158,CW158,DC158,DI158,DO158)</f>
        <v>0</v>
      </c>
      <c r="DZ158" s="111">
        <f t="shared" si="375"/>
        <v>0</v>
      </c>
      <c r="EA158" s="110">
        <f t="shared" si="15"/>
        <v>35</v>
      </c>
      <c r="EB158" s="99" t="str">
        <f t="shared" si="16"/>
        <v>35 - 54</v>
      </c>
      <c r="EC158" s="112"/>
      <c r="ED158" s="113">
        <f t="shared" si="17"/>
        <v>4.2</v>
      </c>
      <c r="EE158" s="114">
        <f>IF(V158 &lt;&gt; "", 1+((V158-MIN(discount_rates))*(4)/(MAX(discount_rates) - MIN(discount_rates))), "")</f>
        <v>1</v>
      </c>
      <c r="EF158" s="114" t="str">
        <f>IF(Q158="Debt", (1+((S158-MIN(interest_rates))*(4)/(MAX(interest_rates) - MIN(interest_rates)))), "")</f>
        <v/>
      </c>
      <c r="EG158" s="114" t="str">
        <f>IF(OR(Q158="Revenue Share", Q158="Profit Share"), (1+((R158-MIN(return_mutiples))*(4)/(MAX(return_mutiples) - MIN(return_mutiples)))), "")</f>
        <v/>
      </c>
      <c r="EH158" s="115">
        <f t="shared" si="18"/>
        <v>4.2</v>
      </c>
      <c r="EI158" s="116" t="str">
        <f t="shared" si="19"/>
        <v>CAFES</v>
      </c>
      <c r="EJ158" s="117">
        <f t="shared" si="20"/>
        <v>0.1232876712</v>
      </c>
      <c r="EK158" s="116" t="str">
        <f t="shared" si="21"/>
        <v>Early</v>
      </c>
      <c r="EL158" s="112"/>
      <c r="EM158" s="118">
        <f t="shared" si="22"/>
        <v>3.6</v>
      </c>
      <c r="EN158" s="118">
        <f t="shared" si="23"/>
        <v>1.7</v>
      </c>
      <c r="EO158" s="119">
        <f t="shared" si="24"/>
        <v>5.3</v>
      </c>
      <c r="EP158" s="115">
        <f>1+((EO158-MIN(market_ratings_sums))*(4)/(MAX(market_ratings_sums) - MIN(market_ratings_sums)))</f>
        <v>2.824561404</v>
      </c>
      <c r="EQ158" s="116" t="str">
        <f t="shared" si="25"/>
        <v>No</v>
      </c>
      <c r="ER158" s="112"/>
      <c r="ES158" s="123">
        <f>1+((DX158-MIN(industry_experiences))*(4)/(MAX(industry_experiences) - MIN(industry_experiences)))</f>
        <v>1</v>
      </c>
      <c r="ET158" s="123">
        <f>1+((DY158-MIN(previous_startups))*(4)/(MAX(previous_startups) - MIN(previous_startups)))</f>
        <v>1</v>
      </c>
      <c r="EU158" s="123">
        <f>1+((DZ158-MIN(exits))*(4)/(MAX(exits) - MIN(exits)))</f>
        <v>1</v>
      </c>
      <c r="EV158" s="119">
        <f t="shared" si="26"/>
        <v>3</v>
      </c>
      <c r="EW158" s="124">
        <f>1+((EV158-MIN(team_ratings_sums))*(4)/(MAX(team_ratings_sums) - MIN(team_ratings_sums)))</f>
        <v>1</v>
      </c>
      <c r="EX158" s="116" t="str">
        <f t="shared" si="27"/>
        <v>35 - 54</v>
      </c>
      <c r="EY158" s="125">
        <f t="shared" si="28"/>
        <v>0.6849315068</v>
      </c>
      <c r="EZ158" s="116">
        <f t="shared" si="29"/>
        <v>1</v>
      </c>
      <c r="FA158" s="125">
        <f t="shared" si="30"/>
        <v>0.4383561644</v>
      </c>
      <c r="FB158" s="116">
        <f t="shared" si="31"/>
        <v>2</v>
      </c>
      <c r="FC158" s="125">
        <f t="shared" si="32"/>
        <v>0.1369863014</v>
      </c>
      <c r="FD158" s="116" t="str">
        <f t="shared" si="33"/>
        <v>No</v>
      </c>
      <c r="FE158" s="125">
        <f t="shared" si="34"/>
        <v>0.7534246575</v>
      </c>
      <c r="FF158" s="116" t="str">
        <f t="shared" ref="FF158:FH158" si="376">BJ158</f>
        <v>Yes</v>
      </c>
      <c r="FG158" s="116" t="str">
        <f t="shared" si="376"/>
        <v>No</v>
      </c>
      <c r="FH158" s="116" t="str">
        <f t="shared" si="376"/>
        <v>No</v>
      </c>
      <c r="FI158" s="112"/>
      <c r="FJ158" s="116" t="str">
        <f t="shared" si="36"/>
        <v>Transactional</v>
      </c>
      <c r="FK158" s="125">
        <f t="shared" si="37"/>
        <v>0.602739726</v>
      </c>
      <c r="FL158" s="116" t="str">
        <f t="shared" si="38"/>
        <v>B2C</v>
      </c>
      <c r="FM158" s="125">
        <f t="shared" si="39"/>
        <v>0.397260274</v>
      </c>
      <c r="FN158" s="116" t="str">
        <f t="shared" si="40"/>
        <v>Low</v>
      </c>
      <c r="FO158" s="125">
        <f t="shared" si="41"/>
        <v>0.4383561644</v>
      </c>
      <c r="FP158" s="116" t="str">
        <f t="shared" si="42"/>
        <v>Low</v>
      </c>
      <c r="FQ158" s="125">
        <f t="shared" si="43"/>
        <v>0.3561643836</v>
      </c>
      <c r="FR158" s="112"/>
      <c r="FS158" s="123">
        <f t="shared" si="44"/>
        <v>1</v>
      </c>
      <c r="FT158" s="123">
        <f t="shared" si="45"/>
        <v>1</v>
      </c>
      <c r="FU158" s="123">
        <f t="shared" si="46"/>
        <v>1</v>
      </c>
      <c r="FV158" s="123">
        <f t="shared" si="47"/>
        <v>4.6</v>
      </c>
      <c r="FW158" s="119">
        <f t="shared" si="48"/>
        <v>7.6</v>
      </c>
      <c r="FX158" s="115">
        <f>1+((FW158-MIN(performance_ratings_sums))*(4)/(MAX(performance_ratings_sums) - MIN(performance_ratings_sums)))</f>
        <v>1.336448598</v>
      </c>
      <c r="FY158" s="116" t="str">
        <f t="shared" si="49"/>
        <v>Pre-Revenue</v>
      </c>
      <c r="FZ158" s="126">
        <f t="shared" si="50"/>
        <v>0.2054794521</v>
      </c>
      <c r="GA158" s="112"/>
      <c r="GB158" s="127">
        <f t="shared" si="51"/>
        <v>1</v>
      </c>
      <c r="GC158" s="116" t="str">
        <f t="shared" si="52"/>
        <v>No</v>
      </c>
      <c r="GD158" s="126">
        <f t="shared" si="53"/>
        <v>0.7671232877</v>
      </c>
      <c r="GE158" s="126" t="str">
        <f t="shared" si="54"/>
        <v/>
      </c>
      <c r="GF158" s="126">
        <f t="shared" si="55"/>
        <v>0</v>
      </c>
      <c r="GG158" s="126" t="str">
        <f t="shared" si="56"/>
        <v/>
      </c>
      <c r="GH158" s="126">
        <f t="shared" si="57"/>
        <v>0</v>
      </c>
      <c r="GI158" s="112"/>
      <c r="GJ158" s="116"/>
      <c r="GK158" s="119">
        <f t="shared" si="58"/>
        <v>10.36101</v>
      </c>
      <c r="GL158" s="128">
        <f>1+((GK158-MIN(ratings_sums))*(4)/(MAX(ratings_sums) - MIN(ratings_sums)))</f>
        <v>1.971768173</v>
      </c>
    </row>
    <row r="159" ht="15.75" customHeight="1">
      <c r="A159" s="161" t="s">
        <v>1128</v>
      </c>
      <c r="B159" s="15">
        <v>1787345.0</v>
      </c>
      <c r="C159" s="162" t="s">
        <v>1218</v>
      </c>
      <c r="D159" s="163">
        <v>43745.43541666667</v>
      </c>
      <c r="E159" s="15" t="s">
        <v>392</v>
      </c>
      <c r="F159" s="164" t="s">
        <v>1219</v>
      </c>
      <c r="G159" s="164" t="s">
        <v>1220</v>
      </c>
      <c r="H159" s="173">
        <v>43719.0</v>
      </c>
      <c r="I159" s="162" t="s">
        <v>1221</v>
      </c>
      <c r="J159" s="162" t="s">
        <v>1218</v>
      </c>
      <c r="K159" s="15" t="s">
        <v>542</v>
      </c>
      <c r="L159" s="15" t="s">
        <v>1222</v>
      </c>
      <c r="M159" s="15" t="s">
        <v>31</v>
      </c>
      <c r="N159" s="15" t="s">
        <v>82</v>
      </c>
      <c r="O159" s="15" t="s">
        <v>35</v>
      </c>
      <c r="Q159" s="15" t="s">
        <v>195</v>
      </c>
      <c r="R159" s="166"/>
      <c r="S159" s="120"/>
      <c r="T159" s="69"/>
      <c r="U159" s="69">
        <v>5000000.0</v>
      </c>
      <c r="V159" s="132">
        <v>0.2</v>
      </c>
      <c r="W159" s="96">
        <f t="shared" si="125"/>
        <v>4000000</v>
      </c>
      <c r="X159" s="98">
        <f t="shared" si="126"/>
        <v>4000000</v>
      </c>
      <c r="Y159" s="99" t="str">
        <f t="shared" si="127"/>
        <v>$2M - $4M</v>
      </c>
      <c r="Z159" s="15" t="s">
        <v>86</v>
      </c>
      <c r="AA159" s="15" t="s">
        <v>87</v>
      </c>
      <c r="AB159" s="15" t="s">
        <v>38</v>
      </c>
      <c r="AC159" s="15" t="s">
        <v>493</v>
      </c>
      <c r="AD159" s="15" t="s">
        <v>89</v>
      </c>
      <c r="AE159" s="15" t="s">
        <v>89</v>
      </c>
      <c r="AF159" s="15" t="s">
        <v>469</v>
      </c>
      <c r="AG159" s="69">
        <v>9.62E10</v>
      </c>
      <c r="AH159" s="97" t="str">
        <f t="shared" si="128"/>
        <v>$50B-$100B</v>
      </c>
      <c r="AI159" s="69">
        <v>9.62E10</v>
      </c>
      <c r="AJ159" s="97" t="str">
        <f t="shared" si="129"/>
        <v>$50B-$100B</v>
      </c>
      <c r="AK159" s="167">
        <v>0.16</v>
      </c>
      <c r="AL159" s="88" t="str">
        <f t="shared" si="130"/>
        <v>10%-20%</v>
      </c>
      <c r="AM159" s="15">
        <v>19.0</v>
      </c>
      <c r="AN159" s="15" t="s">
        <v>89</v>
      </c>
      <c r="AO159" s="15" t="s">
        <v>89</v>
      </c>
      <c r="AP159" s="15" t="s">
        <v>40</v>
      </c>
      <c r="AQ159" s="168"/>
      <c r="AR159" s="168"/>
      <c r="AS159" s="15" t="s">
        <v>493</v>
      </c>
      <c r="AT159" s="15" t="s">
        <v>469</v>
      </c>
      <c r="AU159" s="15" t="s">
        <v>469</v>
      </c>
      <c r="AV159" s="15" t="s">
        <v>469</v>
      </c>
      <c r="AW159" s="69">
        <v>0.0</v>
      </c>
      <c r="AX159" s="96" t="str">
        <f t="shared" si="131"/>
        <v>&lt; $10K</v>
      </c>
      <c r="AY159" s="69">
        <v>2243.0</v>
      </c>
      <c r="AZ159" s="69">
        <v>134619.0</v>
      </c>
      <c r="BA159" s="103" t="str">
        <f t="shared" si="132"/>
        <v>$100K - $500K</v>
      </c>
      <c r="BB159" s="103">
        <f t="shared" si="133"/>
        <v>0.01666183822</v>
      </c>
      <c r="BC159" s="103" t="str">
        <f t="shared" si="134"/>
        <v>&lt; 10%</v>
      </c>
      <c r="BD159" s="15" t="s">
        <v>41</v>
      </c>
      <c r="BF159" s="15" t="s">
        <v>469</v>
      </c>
      <c r="BG159" s="15">
        <v>0.0</v>
      </c>
      <c r="BH159" s="15">
        <v>1.0</v>
      </c>
      <c r="BI159" s="15" t="s">
        <v>469</v>
      </c>
      <c r="BJ159" s="15" t="s">
        <v>469</v>
      </c>
      <c r="BK159" s="15" t="s">
        <v>469</v>
      </c>
      <c r="BL159" s="15" t="s">
        <v>469</v>
      </c>
      <c r="BM159" s="15">
        <v>2.0</v>
      </c>
      <c r="BN159" s="15">
        <v>3.0</v>
      </c>
      <c r="BO159" s="15">
        <v>3.0</v>
      </c>
      <c r="BP159" s="15">
        <v>0.0</v>
      </c>
      <c r="BQ159" s="108"/>
      <c r="BR159" s="15">
        <v>0.0</v>
      </c>
      <c r="BS159" s="15">
        <v>1.0</v>
      </c>
      <c r="BT159" s="15">
        <v>1.0</v>
      </c>
      <c r="BU159" s="15">
        <v>35.0</v>
      </c>
      <c r="BV159" s="15" t="s">
        <v>469</v>
      </c>
      <c r="BW159" s="108"/>
      <c r="CC159" s="108"/>
      <c r="CI159" s="108"/>
      <c r="CO159" s="108"/>
      <c r="CU159" s="108"/>
      <c r="DA159" s="108"/>
      <c r="DG159" s="108"/>
      <c r="DM159" s="108"/>
      <c r="DS159" s="108"/>
      <c r="DT159" s="108"/>
      <c r="DU159" s="108"/>
      <c r="DW159" s="109"/>
      <c r="DX159" s="110">
        <f t="shared" si="13"/>
        <v>0</v>
      </c>
      <c r="DY159" s="111">
        <f t="shared" ref="DY159:DZ159" si="377">sum(BS159,BY159,CE159,CK159,CQ159,CW159,DC159,DI159,DO159)</f>
        <v>1</v>
      </c>
      <c r="DZ159" s="111">
        <f t="shared" si="377"/>
        <v>1</v>
      </c>
      <c r="EA159" s="110">
        <f t="shared" si="15"/>
        <v>35</v>
      </c>
      <c r="EB159" s="99" t="str">
        <f t="shared" si="16"/>
        <v>35 - 54</v>
      </c>
      <c r="EC159" s="112"/>
      <c r="ED159" s="113">
        <f t="shared" si="17"/>
        <v>4.6</v>
      </c>
      <c r="EE159" s="114">
        <f>IF(V159 &lt;&gt; "", 1+((V159-MIN(discount_rates))*(4)/(MAX(discount_rates) - MIN(discount_rates))), "")</f>
        <v>3.105263158</v>
      </c>
      <c r="EF159" s="114" t="str">
        <f>IF(Q159="Debt", (1+((S159-MIN(interest_rates))*(4)/(MAX(interest_rates) - MIN(interest_rates)))), "")</f>
        <v/>
      </c>
      <c r="EG159" s="114" t="str">
        <f>IF(OR(Q159="Revenue Share", Q159="Profit Share"), (1+((R159-MIN(return_mutiples))*(4)/(MAX(return_mutiples) - MIN(return_mutiples)))), "")</f>
        <v/>
      </c>
      <c r="EH159" s="115">
        <f t="shared" si="18"/>
        <v>4.6</v>
      </c>
      <c r="EI159" s="116" t="str">
        <f t="shared" si="19"/>
        <v>SAFE</v>
      </c>
      <c r="EJ159" s="117">
        <f t="shared" si="20"/>
        <v>0.3561643836</v>
      </c>
      <c r="EK159" s="116" t="str">
        <f t="shared" si="21"/>
        <v>Early</v>
      </c>
      <c r="EL159" s="112"/>
      <c r="EM159" s="118">
        <f t="shared" si="22"/>
        <v>3.9</v>
      </c>
      <c r="EN159" s="118">
        <f t="shared" si="23"/>
        <v>2.3</v>
      </c>
      <c r="EO159" s="119">
        <f t="shared" si="24"/>
        <v>6.2</v>
      </c>
      <c r="EP159" s="115">
        <f>1+((EO159-MIN(market_ratings_sums))*(4)/(MAX(market_ratings_sums) - MIN(market_ratings_sums)))</f>
        <v>3.456140351</v>
      </c>
      <c r="EQ159" s="116" t="str">
        <f t="shared" si="25"/>
        <v>Yes</v>
      </c>
      <c r="ER159" s="112"/>
      <c r="ES159" s="123">
        <f>1+((DX159-MIN(industry_experiences))*(4)/(MAX(industry_experiences) - MIN(industry_experiences)))</f>
        <v>1</v>
      </c>
      <c r="ET159" s="123">
        <f>1+((DY159-MIN(previous_startups))*(4)/(MAX(previous_startups) - MIN(previous_startups)))</f>
        <v>1.444444444</v>
      </c>
      <c r="EU159" s="123">
        <f>1+((DZ159-MIN(exits))*(4)/(MAX(exits) - MIN(exits)))</f>
        <v>2</v>
      </c>
      <c r="EV159" s="119">
        <f t="shared" si="26"/>
        <v>4.444444444</v>
      </c>
      <c r="EW159" s="124">
        <f>1+((EV159-MIN(team_ratings_sums))*(4)/(MAX(team_ratings_sums) - MIN(team_ratings_sums)))</f>
        <v>1.791304348</v>
      </c>
      <c r="EX159" s="116" t="str">
        <f t="shared" si="27"/>
        <v>35 - 54</v>
      </c>
      <c r="EY159" s="125">
        <f t="shared" si="28"/>
        <v>0.6849315068</v>
      </c>
      <c r="EZ159" s="116">
        <f t="shared" si="29"/>
        <v>1</v>
      </c>
      <c r="FA159" s="125">
        <f t="shared" si="30"/>
        <v>0.4383561644</v>
      </c>
      <c r="FB159" s="116">
        <f t="shared" si="31"/>
        <v>3</v>
      </c>
      <c r="FC159" s="125">
        <f t="shared" si="32"/>
        <v>0.08219178082</v>
      </c>
      <c r="FD159" s="116" t="str">
        <f t="shared" si="33"/>
        <v>No</v>
      </c>
      <c r="FE159" s="125">
        <f t="shared" si="34"/>
        <v>0.7534246575</v>
      </c>
      <c r="FF159" s="116" t="str">
        <f t="shared" ref="FF159:FH159" si="378">BJ159</f>
        <v>No</v>
      </c>
      <c r="FG159" s="116" t="str">
        <f t="shared" si="378"/>
        <v>No</v>
      </c>
      <c r="FH159" s="116" t="str">
        <f t="shared" si="378"/>
        <v>No</v>
      </c>
      <c r="FI159" s="112"/>
      <c r="FJ159" s="116" t="str">
        <f t="shared" si="36"/>
        <v>Recurring</v>
      </c>
      <c r="FK159" s="125">
        <f t="shared" si="37"/>
        <v>0.397260274</v>
      </c>
      <c r="FL159" s="116" t="str">
        <f t="shared" si="38"/>
        <v>B2C</v>
      </c>
      <c r="FM159" s="125">
        <f t="shared" si="39"/>
        <v>0.397260274</v>
      </c>
      <c r="FN159" s="116" t="str">
        <f t="shared" si="40"/>
        <v>Low</v>
      </c>
      <c r="FO159" s="125">
        <f t="shared" si="41"/>
        <v>0.4383561644</v>
      </c>
      <c r="FP159" s="116" t="str">
        <f t="shared" si="42"/>
        <v>Low</v>
      </c>
      <c r="FQ159" s="125">
        <f t="shared" si="43"/>
        <v>0.3561643836</v>
      </c>
      <c r="FR159" s="112"/>
      <c r="FS159" s="123">
        <f t="shared" si="44"/>
        <v>1</v>
      </c>
      <c r="FT159" s="123">
        <f t="shared" si="45"/>
        <v>1</v>
      </c>
      <c r="FU159" s="123">
        <f t="shared" si="46"/>
        <v>5</v>
      </c>
      <c r="FV159" s="123">
        <f t="shared" si="47"/>
        <v>3.7</v>
      </c>
      <c r="FW159" s="119">
        <f t="shared" si="48"/>
        <v>10.7</v>
      </c>
      <c r="FX159" s="115">
        <f>1+((FW159-MIN(performance_ratings_sums))*(4)/(MAX(performance_ratings_sums) - MIN(performance_ratings_sums)))</f>
        <v>2.495327103</v>
      </c>
      <c r="FY159" s="116" t="str">
        <f t="shared" si="49"/>
        <v>Pre-Product</v>
      </c>
      <c r="FZ159" s="126">
        <f t="shared" si="50"/>
        <v>0.2328767123</v>
      </c>
      <c r="GA159" s="112"/>
      <c r="GB159" s="127">
        <f t="shared" si="51"/>
        <v>1</v>
      </c>
      <c r="GC159" s="116" t="str">
        <f t="shared" si="52"/>
        <v>No</v>
      </c>
      <c r="GD159" s="126">
        <f t="shared" si="53"/>
        <v>0.7671232877</v>
      </c>
      <c r="GE159" s="126" t="str">
        <f t="shared" si="54"/>
        <v/>
      </c>
      <c r="GF159" s="126">
        <f t="shared" si="55"/>
        <v>0</v>
      </c>
      <c r="GG159" s="126" t="str">
        <f t="shared" si="56"/>
        <v/>
      </c>
      <c r="GH159" s="126">
        <f t="shared" si="57"/>
        <v>0</v>
      </c>
      <c r="GI159" s="112"/>
      <c r="GJ159" s="116"/>
      <c r="GK159" s="119">
        <f t="shared" si="58"/>
        <v>13.3427718</v>
      </c>
      <c r="GL159" s="128">
        <f>1+((GK159-MIN(ratings_sums))*(4)/(MAX(ratings_sums) - MIN(ratings_sums)))</f>
        <v>2.886691866</v>
      </c>
    </row>
    <row r="160" ht="15.75" customHeight="1">
      <c r="A160" s="161" t="s">
        <v>1128</v>
      </c>
      <c r="B160" s="15">
        <v>1782777.0</v>
      </c>
      <c r="C160" s="162" t="s">
        <v>1223</v>
      </c>
      <c r="D160" s="163">
        <v>43746.40972222222</v>
      </c>
      <c r="E160" s="15" t="s">
        <v>369</v>
      </c>
      <c r="F160" s="164" t="s">
        <v>1224</v>
      </c>
      <c r="G160" s="164" t="s">
        <v>1225</v>
      </c>
      <c r="H160" s="173">
        <v>43746.0</v>
      </c>
      <c r="I160" s="162" t="s">
        <v>1226</v>
      </c>
      <c r="J160" s="162" t="s">
        <v>1227</v>
      </c>
      <c r="K160" s="15" t="s">
        <v>438</v>
      </c>
      <c r="L160" s="15" t="s">
        <v>133</v>
      </c>
      <c r="M160" s="15" t="s">
        <v>81</v>
      </c>
      <c r="N160" s="15" t="s">
        <v>101</v>
      </c>
      <c r="O160" s="15" t="s">
        <v>35</v>
      </c>
      <c r="Q160" s="15" t="s">
        <v>195</v>
      </c>
      <c r="R160" s="166"/>
      <c r="S160" s="120"/>
      <c r="T160" s="69"/>
      <c r="U160" s="69">
        <v>7500000.0</v>
      </c>
      <c r="V160" s="132">
        <v>0.2</v>
      </c>
      <c r="W160" s="96">
        <f t="shared" si="125"/>
        <v>6000000</v>
      </c>
      <c r="X160" s="98">
        <f t="shared" si="126"/>
        <v>6000000</v>
      </c>
      <c r="Y160" s="99" t="str">
        <f t="shared" si="127"/>
        <v>$4M - $6M</v>
      </c>
      <c r="Z160" s="15" t="s">
        <v>36</v>
      </c>
      <c r="AA160" s="15" t="s">
        <v>123</v>
      </c>
      <c r="AB160" s="15" t="s">
        <v>88</v>
      </c>
      <c r="AC160" s="15" t="s">
        <v>493</v>
      </c>
      <c r="AD160" s="15" t="s">
        <v>39</v>
      </c>
      <c r="AE160" s="15" t="s">
        <v>89</v>
      </c>
      <c r="AF160" s="15" t="s">
        <v>493</v>
      </c>
      <c r="AG160" s="69">
        <v>5.7E9</v>
      </c>
      <c r="AH160" s="97" t="str">
        <f t="shared" si="128"/>
        <v>$5B-$10B</v>
      </c>
      <c r="AI160" s="69">
        <v>5.7E9</v>
      </c>
      <c r="AJ160" s="97" t="str">
        <f t="shared" si="129"/>
        <v>$5B-$10B</v>
      </c>
      <c r="AK160" s="167">
        <v>0.15</v>
      </c>
      <c r="AL160" s="88" t="str">
        <f t="shared" si="130"/>
        <v>10%-20%</v>
      </c>
      <c r="AM160" s="15">
        <v>37.0</v>
      </c>
      <c r="AN160" s="15" t="s">
        <v>39</v>
      </c>
      <c r="AO160" s="15" t="s">
        <v>89</v>
      </c>
      <c r="AP160" s="15" t="s">
        <v>90</v>
      </c>
      <c r="AQ160" s="168"/>
      <c r="AR160" s="168"/>
      <c r="AS160" s="15" t="s">
        <v>469</v>
      </c>
      <c r="AT160" s="15" t="s">
        <v>469</v>
      </c>
      <c r="AU160" s="15" t="s">
        <v>493</v>
      </c>
      <c r="AV160" s="15" t="s">
        <v>493</v>
      </c>
      <c r="AW160" s="69">
        <v>258659.0</v>
      </c>
      <c r="AX160" s="96" t="str">
        <f t="shared" si="131"/>
        <v>$100K - $500K</v>
      </c>
      <c r="AY160" s="69">
        <v>2390.0</v>
      </c>
      <c r="AZ160" s="69">
        <v>235000.0</v>
      </c>
      <c r="BA160" s="103" t="str">
        <f t="shared" si="132"/>
        <v>$100K - $500K</v>
      </c>
      <c r="BB160" s="103">
        <f t="shared" si="133"/>
        <v>0.01017021277</v>
      </c>
      <c r="BC160" s="103" t="str">
        <f t="shared" si="134"/>
        <v>&lt; 10%</v>
      </c>
      <c r="BD160" s="15" t="s">
        <v>124</v>
      </c>
      <c r="BF160" s="15" t="s">
        <v>469</v>
      </c>
      <c r="BG160" s="15">
        <v>0.0</v>
      </c>
      <c r="BH160" s="15">
        <v>2.0</v>
      </c>
      <c r="BI160" s="15" t="s">
        <v>493</v>
      </c>
      <c r="BJ160" s="15" t="s">
        <v>469</v>
      </c>
      <c r="BK160" s="15" t="s">
        <v>469</v>
      </c>
      <c r="BL160" s="15" t="s">
        <v>469</v>
      </c>
      <c r="BM160" s="15">
        <v>3.0</v>
      </c>
      <c r="BN160" s="15">
        <v>7.0</v>
      </c>
      <c r="BO160" s="15">
        <v>2.0</v>
      </c>
      <c r="BP160" s="15">
        <v>0.0</v>
      </c>
      <c r="BQ160" s="108"/>
      <c r="BR160" s="15">
        <v>1.0</v>
      </c>
      <c r="BS160" s="15">
        <v>1.0</v>
      </c>
      <c r="BT160" s="15">
        <v>0.0</v>
      </c>
      <c r="BU160" s="15">
        <v>27.0</v>
      </c>
      <c r="BV160" s="15" t="s">
        <v>469</v>
      </c>
      <c r="BW160" s="108"/>
      <c r="BX160" s="15">
        <v>1.0</v>
      </c>
      <c r="BY160" s="15">
        <v>0.0</v>
      </c>
      <c r="BZ160" s="15">
        <v>0.0</v>
      </c>
      <c r="CA160" s="15">
        <v>30.0</v>
      </c>
      <c r="CB160" s="15" t="s">
        <v>469</v>
      </c>
      <c r="CC160" s="108"/>
      <c r="CI160" s="108"/>
      <c r="CO160" s="108"/>
      <c r="CU160" s="108"/>
      <c r="DA160" s="108"/>
      <c r="DG160" s="108"/>
      <c r="DM160" s="108"/>
      <c r="DS160" s="108"/>
      <c r="DT160" s="108"/>
      <c r="DU160" s="108"/>
      <c r="DW160" s="109"/>
      <c r="DX160" s="110">
        <f t="shared" si="13"/>
        <v>1</v>
      </c>
      <c r="DY160" s="111">
        <f t="shared" ref="DY160:DZ160" si="379">sum(BS160,BY160,CE160,CK160,CQ160,CW160,DC160,DI160,DO160)</f>
        <v>1</v>
      </c>
      <c r="DZ160" s="111">
        <f t="shared" si="379"/>
        <v>0</v>
      </c>
      <c r="EA160" s="110">
        <f t="shared" si="15"/>
        <v>28.5</v>
      </c>
      <c r="EB160" s="99" t="str">
        <f t="shared" si="16"/>
        <v>20 - 34</v>
      </c>
      <c r="EC160" s="112"/>
      <c r="ED160" s="113">
        <f t="shared" si="17"/>
        <v>4.4</v>
      </c>
      <c r="EE160" s="114">
        <f>IF(V160 &lt;&gt; "", 1+((V160-MIN(discount_rates))*(4)/(MAX(discount_rates) - MIN(discount_rates))), "")</f>
        <v>3.105263158</v>
      </c>
      <c r="EF160" s="114" t="str">
        <f>IF(Q160="Debt", (1+((S160-MIN(interest_rates))*(4)/(MAX(interest_rates) - MIN(interest_rates)))), "")</f>
        <v/>
      </c>
      <c r="EG160" s="114" t="str">
        <f>IF(OR(Q160="Revenue Share", Q160="Profit Share"), (1+((R160-MIN(return_mutiples))*(4)/(MAX(return_mutiples) - MIN(return_mutiples)))), "")</f>
        <v/>
      </c>
      <c r="EH160" s="115">
        <f t="shared" si="18"/>
        <v>4.4</v>
      </c>
      <c r="EI160" s="116" t="str">
        <f t="shared" si="19"/>
        <v>SAFE</v>
      </c>
      <c r="EJ160" s="117">
        <f t="shared" si="20"/>
        <v>0.3561643836</v>
      </c>
      <c r="EK160" s="116" t="str">
        <f t="shared" si="21"/>
        <v>Growth</v>
      </c>
      <c r="EL160" s="112"/>
      <c r="EM160" s="118">
        <f t="shared" si="22"/>
        <v>3</v>
      </c>
      <c r="EN160" s="118">
        <f t="shared" si="23"/>
        <v>2.3</v>
      </c>
      <c r="EO160" s="119">
        <f t="shared" si="24"/>
        <v>5.3</v>
      </c>
      <c r="EP160" s="115">
        <f>1+((EO160-MIN(market_ratings_sums))*(4)/(MAX(market_ratings_sums) - MIN(market_ratings_sums)))</f>
        <v>2.824561404</v>
      </c>
      <c r="EQ160" s="116" t="str">
        <f t="shared" si="25"/>
        <v>No</v>
      </c>
      <c r="ER160" s="112"/>
      <c r="ES160" s="123">
        <f>1+((DX160-MIN(industry_experiences))*(4)/(MAX(industry_experiences) - MIN(industry_experiences)))</f>
        <v>1.095238095</v>
      </c>
      <c r="ET160" s="123">
        <f>1+((DY160-MIN(previous_startups))*(4)/(MAX(previous_startups) - MIN(previous_startups)))</f>
        <v>1.444444444</v>
      </c>
      <c r="EU160" s="123">
        <f>1+((DZ160-MIN(exits))*(4)/(MAX(exits) - MIN(exits)))</f>
        <v>1</v>
      </c>
      <c r="EV160" s="119">
        <f t="shared" si="26"/>
        <v>3.53968254</v>
      </c>
      <c r="EW160" s="124">
        <f>1+((EV160-MIN(team_ratings_sums))*(4)/(MAX(team_ratings_sums) - MIN(team_ratings_sums)))</f>
        <v>1.295652174</v>
      </c>
      <c r="EX160" s="116" t="str">
        <f t="shared" si="27"/>
        <v>20 - 34</v>
      </c>
      <c r="EY160" s="125">
        <f t="shared" si="28"/>
        <v>0.2054794521</v>
      </c>
      <c r="EZ160" s="116">
        <f t="shared" si="29"/>
        <v>2</v>
      </c>
      <c r="FA160" s="125">
        <f t="shared" si="30"/>
        <v>0.4520547945</v>
      </c>
      <c r="FB160" s="116">
        <f t="shared" si="31"/>
        <v>7</v>
      </c>
      <c r="FC160" s="125">
        <f t="shared" si="32"/>
        <v>0.04109589041</v>
      </c>
      <c r="FD160" s="116" t="str">
        <f t="shared" si="33"/>
        <v>Yes</v>
      </c>
      <c r="FE160" s="125">
        <f t="shared" si="34"/>
        <v>0.2465753425</v>
      </c>
      <c r="FF160" s="116" t="str">
        <f t="shared" ref="FF160:FH160" si="380">BJ160</f>
        <v>No</v>
      </c>
      <c r="FG160" s="116" t="str">
        <f t="shared" si="380"/>
        <v>No</v>
      </c>
      <c r="FH160" s="116" t="str">
        <f t="shared" si="380"/>
        <v>No</v>
      </c>
      <c r="FI160" s="112"/>
      <c r="FJ160" s="116" t="str">
        <f t="shared" si="36"/>
        <v>Transactional</v>
      </c>
      <c r="FK160" s="125">
        <f t="shared" si="37"/>
        <v>0.602739726</v>
      </c>
      <c r="FL160" s="116" t="str">
        <f t="shared" si="38"/>
        <v>B2B/B2C</v>
      </c>
      <c r="FM160" s="125">
        <f t="shared" si="39"/>
        <v>0.3287671233</v>
      </c>
      <c r="FN160" s="116" t="str">
        <f t="shared" si="40"/>
        <v>High</v>
      </c>
      <c r="FO160" s="125">
        <f t="shared" si="41"/>
        <v>0.5616438356</v>
      </c>
      <c r="FP160" s="116" t="str">
        <f t="shared" si="42"/>
        <v>Low</v>
      </c>
      <c r="FQ160" s="125">
        <f t="shared" si="43"/>
        <v>0.3561643836</v>
      </c>
      <c r="FR160" s="112"/>
      <c r="FS160" s="123">
        <f t="shared" si="44"/>
        <v>5</v>
      </c>
      <c r="FT160" s="123">
        <f t="shared" si="45"/>
        <v>2.3</v>
      </c>
      <c r="FU160" s="123">
        <f t="shared" si="46"/>
        <v>5</v>
      </c>
      <c r="FV160" s="123">
        <f t="shared" si="47"/>
        <v>3.7</v>
      </c>
      <c r="FW160" s="119">
        <f t="shared" si="48"/>
        <v>16</v>
      </c>
      <c r="FX160" s="115">
        <f>1+((FW160-MIN(performance_ratings_sums))*(4)/(MAX(performance_ratings_sums) - MIN(performance_ratings_sums)))</f>
        <v>4.476635514</v>
      </c>
      <c r="FY160" s="116" t="str">
        <f t="shared" si="49"/>
        <v>Profitable</v>
      </c>
      <c r="FZ160" s="126">
        <f t="shared" si="50"/>
        <v>0.06849315068</v>
      </c>
      <c r="GA160" s="112"/>
      <c r="GB160" s="127">
        <f t="shared" si="51"/>
        <v>3</v>
      </c>
      <c r="GC160" s="116" t="str">
        <f t="shared" si="52"/>
        <v>No</v>
      </c>
      <c r="GD160" s="126">
        <f t="shared" si="53"/>
        <v>0.7671232877</v>
      </c>
      <c r="GE160" s="126" t="str">
        <f t="shared" si="54"/>
        <v/>
      </c>
      <c r="GF160" s="126">
        <f t="shared" si="55"/>
        <v>0</v>
      </c>
      <c r="GG160" s="126" t="str">
        <f t="shared" si="56"/>
        <v/>
      </c>
      <c r="GH160" s="126">
        <f t="shared" si="57"/>
        <v>0</v>
      </c>
      <c r="GI160" s="112"/>
      <c r="GJ160" s="116"/>
      <c r="GK160" s="119">
        <f t="shared" si="58"/>
        <v>15.99684909</v>
      </c>
      <c r="GL160" s="128">
        <f>1+((GK160-MIN(ratings_sums))*(4)/(MAX(ratings_sums) - MIN(ratings_sums)))</f>
        <v>3.701068855</v>
      </c>
    </row>
    <row r="161" ht="15.75" customHeight="1">
      <c r="A161" s="161" t="s">
        <v>1128</v>
      </c>
      <c r="B161" s="15">
        <v>1787792.0</v>
      </c>
      <c r="C161" s="162" t="s">
        <v>1228</v>
      </c>
      <c r="D161" s="163">
        <v>43746.424305555556</v>
      </c>
      <c r="E161" s="15" t="s">
        <v>381</v>
      </c>
      <c r="F161" s="164" t="s">
        <v>1229</v>
      </c>
      <c r="G161" s="164" t="s">
        <v>1230</v>
      </c>
      <c r="H161" s="173">
        <v>43833.0</v>
      </c>
      <c r="I161" s="162" t="s">
        <v>1231</v>
      </c>
      <c r="J161" s="162" t="s">
        <v>1228</v>
      </c>
      <c r="K161" s="15" t="s">
        <v>490</v>
      </c>
      <c r="L161" s="15" t="s">
        <v>362</v>
      </c>
      <c r="M161" s="15" t="s">
        <v>81</v>
      </c>
      <c r="N161" s="15" t="s">
        <v>101</v>
      </c>
      <c r="O161" s="15" t="s">
        <v>35</v>
      </c>
      <c r="Q161" s="15" t="s">
        <v>121</v>
      </c>
      <c r="R161" s="166"/>
      <c r="S161" s="120"/>
      <c r="T161" s="69">
        <v>1.5E7</v>
      </c>
      <c r="U161" s="69"/>
      <c r="V161" s="132"/>
      <c r="W161" s="96" t="str">
        <f t="shared" si="125"/>
        <v/>
      </c>
      <c r="X161" s="98">
        <f t="shared" si="126"/>
        <v>15000000</v>
      </c>
      <c r="Y161" s="99" t="str">
        <f t="shared" si="127"/>
        <v>$14M - $16M</v>
      </c>
      <c r="Z161" s="15" t="s">
        <v>86</v>
      </c>
      <c r="AA161" s="15" t="s">
        <v>87</v>
      </c>
      <c r="AB161" s="15" t="s">
        <v>38</v>
      </c>
      <c r="AC161" s="15" t="s">
        <v>493</v>
      </c>
      <c r="AD161" s="15" t="s">
        <v>89</v>
      </c>
      <c r="AE161" s="15" t="s">
        <v>89</v>
      </c>
      <c r="AF161" s="15" t="s">
        <v>469</v>
      </c>
      <c r="AG161" s="69">
        <v>4.323E9</v>
      </c>
      <c r="AH161" s="97" t="str">
        <f t="shared" si="128"/>
        <v>$1B-$5B</v>
      </c>
      <c r="AI161" s="69">
        <v>4.323E9</v>
      </c>
      <c r="AJ161" s="97" t="str">
        <f t="shared" si="129"/>
        <v>$1B-$5B</v>
      </c>
      <c r="AK161" s="167">
        <v>0.06</v>
      </c>
      <c r="AL161" s="88" t="str">
        <f t="shared" si="130"/>
        <v>0%-10%</v>
      </c>
      <c r="AM161" s="15">
        <v>3.0</v>
      </c>
      <c r="AN161" s="15" t="s">
        <v>89</v>
      </c>
      <c r="AO161" s="15" t="s">
        <v>89</v>
      </c>
      <c r="AP161" s="15" t="s">
        <v>40</v>
      </c>
      <c r="AQ161" s="168"/>
      <c r="AR161" s="168"/>
      <c r="AS161" s="15" t="s">
        <v>469</v>
      </c>
      <c r="AT161" s="15" t="s">
        <v>493</v>
      </c>
      <c r="AU161" s="15" t="s">
        <v>493</v>
      </c>
      <c r="AV161" s="15" t="s">
        <v>493</v>
      </c>
      <c r="AW161" s="69">
        <v>4717684.0</v>
      </c>
      <c r="AX161" s="96" t="str">
        <f t="shared" si="131"/>
        <v>$4M - $5M</v>
      </c>
      <c r="AY161" s="69">
        <v>16694.0</v>
      </c>
      <c r="AZ161" s="69">
        <v>1800000.0</v>
      </c>
      <c r="BA161" s="103" t="str">
        <f t="shared" si="132"/>
        <v>$1M - $2M</v>
      </c>
      <c r="BB161" s="103">
        <f t="shared" si="133"/>
        <v>0.009274444444</v>
      </c>
      <c r="BC161" s="103" t="str">
        <f t="shared" si="134"/>
        <v>&lt; 10%</v>
      </c>
      <c r="BD161" s="15" t="s">
        <v>124</v>
      </c>
      <c r="BF161" s="15" t="s">
        <v>469</v>
      </c>
      <c r="BG161" s="15">
        <v>0.0</v>
      </c>
      <c r="BH161" s="15">
        <v>2.0</v>
      </c>
      <c r="BI161" s="15" t="s">
        <v>493</v>
      </c>
      <c r="BJ161" s="15" t="s">
        <v>469</v>
      </c>
      <c r="BK161" s="15" t="s">
        <v>469</v>
      </c>
      <c r="BL161" s="15" t="s">
        <v>469</v>
      </c>
      <c r="BM161" s="15">
        <v>2.0</v>
      </c>
      <c r="BN161" s="15">
        <v>8.0</v>
      </c>
      <c r="BO161" s="15">
        <v>2.0</v>
      </c>
      <c r="BP161" s="15">
        <v>0.0</v>
      </c>
      <c r="BQ161" s="108"/>
      <c r="BR161" s="15">
        <v>11.0</v>
      </c>
      <c r="BS161" s="15">
        <v>0.0</v>
      </c>
      <c r="BT161" s="15">
        <v>0.0</v>
      </c>
      <c r="BU161" s="15">
        <v>46.0</v>
      </c>
      <c r="BV161" s="15" t="s">
        <v>493</v>
      </c>
      <c r="BW161" s="108"/>
      <c r="BX161" s="15">
        <v>13.0</v>
      </c>
      <c r="BY161" s="15">
        <v>0.0</v>
      </c>
      <c r="BZ161" s="15">
        <v>0.0</v>
      </c>
      <c r="CA161" s="15">
        <v>64.0</v>
      </c>
      <c r="CB161" s="15" t="s">
        <v>493</v>
      </c>
      <c r="CC161" s="108"/>
      <c r="CI161" s="108"/>
      <c r="CO161" s="108"/>
      <c r="CU161" s="108"/>
      <c r="DA161" s="108"/>
      <c r="DG161" s="108"/>
      <c r="DM161" s="108"/>
      <c r="DS161" s="108"/>
      <c r="DT161" s="108"/>
      <c r="DU161" s="108"/>
      <c r="DW161" s="109"/>
      <c r="DX161" s="110">
        <f t="shared" si="13"/>
        <v>12</v>
      </c>
      <c r="DY161" s="111">
        <f t="shared" ref="DY161:DZ161" si="381">sum(BS161,BY161,CE161,CK161,CQ161,CW161,DC161,DI161,DO161)</f>
        <v>0</v>
      </c>
      <c r="DZ161" s="111">
        <f t="shared" si="381"/>
        <v>0</v>
      </c>
      <c r="EA161" s="110">
        <f t="shared" si="15"/>
        <v>55</v>
      </c>
      <c r="EB161" s="99" t="str">
        <f t="shared" si="16"/>
        <v>55+</v>
      </c>
      <c r="EC161" s="112"/>
      <c r="ED161" s="113">
        <f t="shared" si="17"/>
        <v>3.5</v>
      </c>
      <c r="EE161" s="114" t="str">
        <f>IF(V161 &lt;&gt; "", 1+((V161-MIN(discount_rates))*(4)/(MAX(discount_rates) - MIN(discount_rates))), "")</f>
        <v/>
      </c>
      <c r="EF161" s="114" t="str">
        <f>IF(Q161="Debt", (1+((S161-MIN(interest_rates))*(4)/(MAX(interest_rates) - MIN(interest_rates)))), "")</f>
        <v/>
      </c>
      <c r="EG161" s="114" t="str">
        <f>IF(OR(Q161="Revenue Share", Q161="Profit Share"), (1+((R161-MIN(return_mutiples))*(4)/(MAX(return_mutiples) - MIN(return_mutiples)))), "")</f>
        <v/>
      </c>
      <c r="EH161" s="115">
        <f t="shared" si="18"/>
        <v>3.5</v>
      </c>
      <c r="EI161" s="116" t="str">
        <f t="shared" si="19"/>
        <v>Equity - Common</v>
      </c>
      <c r="EJ161" s="117">
        <f t="shared" si="20"/>
        <v>0.3287671233</v>
      </c>
      <c r="EK161" s="116" t="str">
        <f t="shared" si="21"/>
        <v>Growth</v>
      </c>
      <c r="EL161" s="112"/>
      <c r="EM161" s="118">
        <f t="shared" si="22"/>
        <v>2.7</v>
      </c>
      <c r="EN161" s="118">
        <f t="shared" si="23"/>
        <v>1.7</v>
      </c>
      <c r="EO161" s="119">
        <f t="shared" si="24"/>
        <v>4.4</v>
      </c>
      <c r="EP161" s="115">
        <f>1+((EO161-MIN(market_ratings_sums))*(4)/(MAX(market_ratings_sums) - MIN(market_ratings_sums)))</f>
        <v>2.192982456</v>
      </c>
      <c r="EQ161" s="116" t="str">
        <f t="shared" si="25"/>
        <v>No</v>
      </c>
      <c r="ER161" s="112"/>
      <c r="ES161" s="123">
        <f>1+((DX161-MIN(industry_experiences))*(4)/(MAX(industry_experiences) - MIN(industry_experiences)))</f>
        <v>2.142857143</v>
      </c>
      <c r="ET161" s="123">
        <f>1+((DY161-MIN(previous_startups))*(4)/(MAX(previous_startups) - MIN(previous_startups)))</f>
        <v>1</v>
      </c>
      <c r="EU161" s="123">
        <f>1+((DZ161-MIN(exits))*(4)/(MAX(exits) - MIN(exits)))</f>
        <v>1</v>
      </c>
      <c r="EV161" s="119">
        <f t="shared" si="26"/>
        <v>4.142857143</v>
      </c>
      <c r="EW161" s="124">
        <f>1+((EV161-MIN(team_ratings_sums))*(4)/(MAX(team_ratings_sums) - MIN(team_ratings_sums)))</f>
        <v>1.626086957</v>
      </c>
      <c r="EX161" s="116" t="str">
        <f t="shared" si="27"/>
        <v>55+</v>
      </c>
      <c r="EY161" s="125">
        <f t="shared" si="28"/>
        <v>0.1095890411</v>
      </c>
      <c r="EZ161" s="116">
        <f t="shared" si="29"/>
        <v>2</v>
      </c>
      <c r="FA161" s="125">
        <f t="shared" si="30"/>
        <v>0.4520547945</v>
      </c>
      <c r="FB161" s="116">
        <f t="shared" si="31"/>
        <v>8</v>
      </c>
      <c r="FC161" s="125">
        <f t="shared" si="32"/>
        <v>0.05479452055</v>
      </c>
      <c r="FD161" s="116" t="str">
        <f t="shared" si="33"/>
        <v>Yes</v>
      </c>
      <c r="FE161" s="125">
        <f t="shared" si="34"/>
        <v>0.2465753425</v>
      </c>
      <c r="FF161" s="116" t="str">
        <f t="shared" ref="FF161:FH161" si="382">BJ161</f>
        <v>No</v>
      </c>
      <c r="FG161" s="116" t="str">
        <f t="shared" si="382"/>
        <v>No</v>
      </c>
      <c r="FH161" s="116" t="str">
        <f t="shared" si="382"/>
        <v>No</v>
      </c>
      <c r="FI161" s="112"/>
      <c r="FJ161" s="116" t="str">
        <f t="shared" si="36"/>
        <v>Recurring</v>
      </c>
      <c r="FK161" s="125">
        <f t="shared" si="37"/>
        <v>0.397260274</v>
      </c>
      <c r="FL161" s="116" t="str">
        <f t="shared" si="38"/>
        <v>B2C</v>
      </c>
      <c r="FM161" s="125">
        <f t="shared" si="39"/>
        <v>0.397260274</v>
      </c>
      <c r="FN161" s="116" t="str">
        <f t="shared" si="40"/>
        <v>Low</v>
      </c>
      <c r="FO161" s="125">
        <f t="shared" si="41"/>
        <v>0.4383561644</v>
      </c>
      <c r="FP161" s="116" t="str">
        <f t="shared" si="42"/>
        <v>Low</v>
      </c>
      <c r="FQ161" s="125">
        <f t="shared" si="43"/>
        <v>0.3561643836</v>
      </c>
      <c r="FR161" s="112"/>
      <c r="FS161" s="123">
        <f t="shared" si="44"/>
        <v>5</v>
      </c>
      <c r="FT161" s="123">
        <f t="shared" si="45"/>
        <v>4.6</v>
      </c>
      <c r="FU161" s="123">
        <f t="shared" si="46"/>
        <v>5</v>
      </c>
      <c r="FV161" s="123">
        <f t="shared" si="47"/>
        <v>2.8</v>
      </c>
      <c r="FW161" s="119">
        <f t="shared" si="48"/>
        <v>17.4</v>
      </c>
      <c r="FX161" s="115">
        <f>1+((FW161-MIN(performance_ratings_sums))*(4)/(MAX(performance_ratings_sums) - MIN(performance_ratings_sums)))</f>
        <v>5</v>
      </c>
      <c r="FY161" s="116" t="str">
        <f t="shared" si="49"/>
        <v>Profitable</v>
      </c>
      <c r="FZ161" s="126">
        <f t="shared" si="50"/>
        <v>0.06849315068</v>
      </c>
      <c r="GA161" s="112"/>
      <c r="GB161" s="127">
        <f t="shared" si="51"/>
        <v>1</v>
      </c>
      <c r="GC161" s="116" t="str">
        <f t="shared" si="52"/>
        <v>Yes</v>
      </c>
      <c r="GD161" s="126">
        <f t="shared" si="53"/>
        <v>0.2328767123</v>
      </c>
      <c r="GE161" s="126" t="str">
        <f t="shared" si="54"/>
        <v/>
      </c>
      <c r="GF161" s="126">
        <f t="shared" si="55"/>
        <v>0</v>
      </c>
      <c r="GG161" s="126" t="str">
        <f t="shared" si="56"/>
        <v/>
      </c>
      <c r="GH161" s="126">
        <f t="shared" si="57"/>
        <v>0</v>
      </c>
      <c r="GI161" s="112"/>
      <c r="GJ161" s="116"/>
      <c r="GK161" s="119">
        <f t="shared" si="58"/>
        <v>13.31906941</v>
      </c>
      <c r="GL161" s="128">
        <f>1+((GK161-MIN(ratings_sums))*(4)/(MAX(ratings_sums) - MIN(ratings_sums)))</f>
        <v>2.879419026</v>
      </c>
    </row>
    <row r="162" ht="15.75" customHeight="1">
      <c r="A162" s="161" t="s">
        <v>1128</v>
      </c>
      <c r="B162" s="15">
        <v>1706765.0</v>
      </c>
      <c r="C162" s="162" t="s">
        <v>1232</v>
      </c>
      <c r="D162" s="163">
        <v>43747.40069444444</v>
      </c>
      <c r="E162" s="15" t="s">
        <v>392</v>
      </c>
      <c r="F162" s="164" t="s">
        <v>1233</v>
      </c>
      <c r="G162" s="164" t="s">
        <v>1234</v>
      </c>
      <c r="H162" s="173">
        <v>43728.0</v>
      </c>
      <c r="I162" s="162" t="s">
        <v>1235</v>
      </c>
      <c r="J162" s="162" t="s">
        <v>1232</v>
      </c>
      <c r="K162" s="15" t="s">
        <v>192</v>
      </c>
      <c r="L162" s="15" t="s">
        <v>349</v>
      </c>
      <c r="M162" s="15" t="s">
        <v>81</v>
      </c>
      <c r="N162" s="15" t="s">
        <v>101</v>
      </c>
      <c r="O162" s="15" t="s">
        <v>35</v>
      </c>
      <c r="Q162" s="15" t="s">
        <v>135</v>
      </c>
      <c r="R162" s="166"/>
      <c r="S162" s="120"/>
      <c r="T162" s="69">
        <v>1.76E7</v>
      </c>
      <c r="U162" s="69"/>
      <c r="V162" s="132"/>
      <c r="W162" s="96" t="str">
        <f t="shared" si="125"/>
        <v/>
      </c>
      <c r="X162" s="98">
        <f t="shared" si="126"/>
        <v>17600000</v>
      </c>
      <c r="Y162" s="99" t="str">
        <f t="shared" si="127"/>
        <v>$16M - $18M</v>
      </c>
      <c r="Z162" s="15" t="s">
        <v>36</v>
      </c>
      <c r="AA162" s="15" t="s">
        <v>123</v>
      </c>
      <c r="AB162" s="15" t="s">
        <v>88</v>
      </c>
      <c r="AC162" s="15" t="s">
        <v>493</v>
      </c>
      <c r="AD162" s="15" t="s">
        <v>39</v>
      </c>
      <c r="AE162" s="15" t="s">
        <v>89</v>
      </c>
      <c r="AF162" s="15" t="s">
        <v>493</v>
      </c>
      <c r="AG162" s="69">
        <v>4.5E11</v>
      </c>
      <c r="AH162" s="97" t="str">
        <f t="shared" si="128"/>
        <v>$250B-$500B</v>
      </c>
      <c r="AI162" s="69">
        <v>4.5E11</v>
      </c>
      <c r="AJ162" s="97" t="str">
        <f t="shared" si="129"/>
        <v>$250B-$500B</v>
      </c>
      <c r="AK162" s="167">
        <v>0.06</v>
      </c>
      <c r="AL162" s="88" t="str">
        <f t="shared" si="130"/>
        <v>0%-10%</v>
      </c>
      <c r="AM162" s="15">
        <v>8.0</v>
      </c>
      <c r="AN162" s="15" t="s">
        <v>89</v>
      </c>
      <c r="AO162" s="15" t="s">
        <v>89</v>
      </c>
      <c r="AP162" s="15" t="s">
        <v>90</v>
      </c>
      <c r="AQ162" s="168"/>
      <c r="AR162" s="168"/>
      <c r="AS162" s="15" t="s">
        <v>469</v>
      </c>
      <c r="AT162" s="15" t="s">
        <v>469</v>
      </c>
      <c r="AU162" s="15" t="s">
        <v>493</v>
      </c>
      <c r="AV162" s="15" t="s">
        <v>493</v>
      </c>
      <c r="AW162" s="69">
        <v>313961.0</v>
      </c>
      <c r="AX162" s="96" t="str">
        <f t="shared" si="131"/>
        <v>$100K - $500K</v>
      </c>
      <c r="AY162" s="69">
        <v>60738.0</v>
      </c>
      <c r="AZ162" s="69">
        <v>4513039.0</v>
      </c>
      <c r="BA162" s="103" t="str">
        <f t="shared" si="132"/>
        <v>$4M - $5M</v>
      </c>
      <c r="BB162" s="103">
        <f t="shared" si="133"/>
        <v>0.01345833705</v>
      </c>
      <c r="BC162" s="103" t="str">
        <f t="shared" si="134"/>
        <v>&lt; 10%</v>
      </c>
      <c r="BD162" s="15" t="s">
        <v>107</v>
      </c>
      <c r="BF162" s="15" t="s">
        <v>493</v>
      </c>
      <c r="BG162" s="15">
        <v>4.0</v>
      </c>
      <c r="BH162" s="15">
        <v>1.0</v>
      </c>
      <c r="BI162" s="15" t="s">
        <v>493</v>
      </c>
      <c r="BJ162" s="15" t="s">
        <v>469</v>
      </c>
      <c r="BK162" s="15" t="s">
        <v>469</v>
      </c>
      <c r="BL162" s="15" t="s">
        <v>469</v>
      </c>
      <c r="BM162" s="15">
        <v>4.0</v>
      </c>
      <c r="BN162" s="15">
        <v>12.0</v>
      </c>
      <c r="BO162" s="15">
        <v>0.0</v>
      </c>
      <c r="BP162" s="15">
        <v>0.0</v>
      </c>
      <c r="BQ162" s="108"/>
      <c r="BR162" s="15">
        <v>16.0</v>
      </c>
      <c r="BS162" s="15">
        <v>2.0</v>
      </c>
      <c r="BT162" s="15">
        <v>1.0</v>
      </c>
      <c r="BU162" s="15">
        <v>50.0</v>
      </c>
      <c r="BV162" s="15" t="s">
        <v>493</v>
      </c>
      <c r="BW162" s="108"/>
      <c r="CC162" s="108"/>
      <c r="CI162" s="108"/>
      <c r="CO162" s="108"/>
      <c r="CU162" s="108"/>
      <c r="DA162" s="108"/>
      <c r="DG162" s="108"/>
      <c r="DM162" s="108"/>
      <c r="DS162" s="108"/>
      <c r="DT162" s="108"/>
      <c r="DU162" s="108"/>
      <c r="DW162" s="109"/>
      <c r="DX162" s="110">
        <f t="shared" si="13"/>
        <v>16</v>
      </c>
      <c r="DY162" s="111">
        <f t="shared" ref="DY162:DZ162" si="383">sum(BS162,BY162,CE162,CK162,CQ162,CW162,DC162,DI162,DO162)</f>
        <v>2</v>
      </c>
      <c r="DZ162" s="111">
        <f t="shared" si="383"/>
        <v>1</v>
      </c>
      <c r="EA162" s="110">
        <f t="shared" si="15"/>
        <v>50</v>
      </c>
      <c r="EB162" s="99" t="str">
        <f t="shared" si="16"/>
        <v>35 - 54</v>
      </c>
      <c r="EC162" s="112"/>
      <c r="ED162" s="113">
        <f t="shared" si="17"/>
        <v>3.3</v>
      </c>
      <c r="EE162" s="114" t="str">
        <f>IF(V162 &lt;&gt; "", 1+((V162-MIN(discount_rates))*(4)/(MAX(discount_rates) - MIN(discount_rates))), "")</f>
        <v/>
      </c>
      <c r="EF162" s="114" t="str">
        <f>IF(Q162="Debt", (1+((S162-MIN(interest_rates))*(4)/(MAX(interest_rates) - MIN(interest_rates)))), "")</f>
        <v/>
      </c>
      <c r="EG162" s="114" t="str">
        <f>IF(OR(Q162="Revenue Share", Q162="Profit Share"), (1+((R162-MIN(return_mutiples))*(4)/(MAX(return_mutiples) - MIN(return_mutiples)))), "")</f>
        <v/>
      </c>
      <c r="EH162" s="115">
        <f t="shared" si="18"/>
        <v>3.3</v>
      </c>
      <c r="EI162" s="116" t="str">
        <f t="shared" si="19"/>
        <v>Equity - Preferred</v>
      </c>
      <c r="EJ162" s="117">
        <f t="shared" si="20"/>
        <v>0.06849315068</v>
      </c>
      <c r="EK162" s="116" t="str">
        <f t="shared" si="21"/>
        <v>Growth</v>
      </c>
      <c r="EL162" s="112"/>
      <c r="EM162" s="118">
        <f t="shared" si="22"/>
        <v>4.4</v>
      </c>
      <c r="EN162" s="118">
        <f t="shared" si="23"/>
        <v>1.7</v>
      </c>
      <c r="EO162" s="119">
        <f t="shared" si="24"/>
        <v>6.1</v>
      </c>
      <c r="EP162" s="115">
        <f>1+((EO162-MIN(market_ratings_sums))*(4)/(MAX(market_ratings_sums) - MIN(market_ratings_sums)))</f>
        <v>3.385964912</v>
      </c>
      <c r="EQ162" s="116" t="str">
        <f t="shared" si="25"/>
        <v>No</v>
      </c>
      <c r="ER162" s="112"/>
      <c r="ES162" s="123">
        <f>1+((DX162-MIN(industry_experiences))*(4)/(MAX(industry_experiences) - MIN(industry_experiences)))</f>
        <v>2.523809524</v>
      </c>
      <c r="ET162" s="123">
        <f>1+((DY162-MIN(previous_startups))*(4)/(MAX(previous_startups) - MIN(previous_startups)))</f>
        <v>1.888888889</v>
      </c>
      <c r="EU162" s="123">
        <f>1+((DZ162-MIN(exits))*(4)/(MAX(exits) - MIN(exits)))</f>
        <v>2</v>
      </c>
      <c r="EV162" s="119">
        <f t="shared" si="26"/>
        <v>6.412698413</v>
      </c>
      <c r="EW162" s="124">
        <f>1+((EV162-MIN(team_ratings_sums))*(4)/(MAX(team_ratings_sums) - MIN(team_ratings_sums)))</f>
        <v>2.869565217</v>
      </c>
      <c r="EX162" s="116" t="str">
        <f t="shared" si="27"/>
        <v>35 - 54</v>
      </c>
      <c r="EY162" s="125">
        <f t="shared" si="28"/>
        <v>0.6849315068</v>
      </c>
      <c r="EZ162" s="116">
        <f t="shared" si="29"/>
        <v>1</v>
      </c>
      <c r="FA162" s="125">
        <f t="shared" si="30"/>
        <v>0.4383561644</v>
      </c>
      <c r="FB162" s="116">
        <f t="shared" si="31"/>
        <v>12</v>
      </c>
      <c r="FC162" s="125">
        <f t="shared" si="32"/>
        <v>0.01369863014</v>
      </c>
      <c r="FD162" s="116" t="str">
        <f t="shared" si="33"/>
        <v>Yes</v>
      </c>
      <c r="FE162" s="125">
        <f t="shared" si="34"/>
        <v>0.2465753425</v>
      </c>
      <c r="FF162" s="116" t="str">
        <f t="shared" ref="FF162:FH162" si="384">BJ162</f>
        <v>No</v>
      </c>
      <c r="FG162" s="116" t="str">
        <f t="shared" si="384"/>
        <v>No</v>
      </c>
      <c r="FH162" s="116" t="str">
        <f t="shared" si="384"/>
        <v>No</v>
      </c>
      <c r="FI162" s="112"/>
      <c r="FJ162" s="116" t="str">
        <f t="shared" si="36"/>
        <v>Transactional</v>
      </c>
      <c r="FK162" s="125">
        <f t="shared" si="37"/>
        <v>0.602739726</v>
      </c>
      <c r="FL162" s="116" t="str">
        <f t="shared" si="38"/>
        <v>B2B/B2C</v>
      </c>
      <c r="FM162" s="125">
        <f t="shared" si="39"/>
        <v>0.3287671233</v>
      </c>
      <c r="FN162" s="116" t="str">
        <f t="shared" si="40"/>
        <v>High</v>
      </c>
      <c r="FO162" s="125">
        <f t="shared" si="41"/>
        <v>0.5616438356</v>
      </c>
      <c r="FP162" s="116" t="str">
        <f t="shared" si="42"/>
        <v>Low</v>
      </c>
      <c r="FQ162" s="125">
        <f t="shared" si="43"/>
        <v>0.3561643836</v>
      </c>
      <c r="FR162" s="112"/>
      <c r="FS162" s="123">
        <f t="shared" si="44"/>
        <v>5</v>
      </c>
      <c r="FT162" s="123">
        <f t="shared" si="45"/>
        <v>2.3</v>
      </c>
      <c r="FU162" s="123">
        <f t="shared" si="46"/>
        <v>5</v>
      </c>
      <c r="FV162" s="123">
        <f t="shared" si="47"/>
        <v>1.4</v>
      </c>
      <c r="FW162" s="119">
        <f t="shared" si="48"/>
        <v>13.7</v>
      </c>
      <c r="FX162" s="115">
        <f>1+((FW162-MIN(performance_ratings_sums))*(4)/(MAX(performance_ratings_sums) - MIN(performance_ratings_sums)))</f>
        <v>3.61682243</v>
      </c>
      <c r="FY162" s="116" t="str">
        <f t="shared" si="49"/>
        <v>Pre-Profit</v>
      </c>
      <c r="FZ162" s="126">
        <f t="shared" si="50"/>
        <v>0.4931506849</v>
      </c>
      <c r="GA162" s="112"/>
      <c r="GB162" s="127">
        <f t="shared" si="51"/>
        <v>1</v>
      </c>
      <c r="GC162" s="116" t="str">
        <f t="shared" si="52"/>
        <v>No</v>
      </c>
      <c r="GD162" s="126">
        <f t="shared" si="53"/>
        <v>0.7671232877</v>
      </c>
      <c r="GE162" s="126" t="str">
        <f t="shared" si="54"/>
        <v/>
      </c>
      <c r="GF162" s="126">
        <f t="shared" si="55"/>
        <v>0</v>
      </c>
      <c r="GG162" s="126" t="str">
        <f t="shared" si="56"/>
        <v/>
      </c>
      <c r="GH162" s="126">
        <f t="shared" si="57"/>
        <v>0</v>
      </c>
      <c r="GI162" s="112"/>
      <c r="GJ162" s="116"/>
      <c r="GK162" s="119">
        <f t="shared" si="58"/>
        <v>14.17235256</v>
      </c>
      <c r="GL162" s="128">
        <f>1+((GK162-MIN(ratings_sums))*(4)/(MAX(ratings_sums) - MIN(ratings_sums)))</f>
        <v>3.141240399</v>
      </c>
    </row>
    <row r="163" ht="15.75" customHeight="1">
      <c r="A163" s="161" t="s">
        <v>1128</v>
      </c>
      <c r="B163" s="15">
        <v>1787343.0</v>
      </c>
      <c r="C163" s="162" t="s">
        <v>1236</v>
      </c>
      <c r="D163" s="163">
        <v>43747.40416666667</v>
      </c>
      <c r="E163" s="15" t="s">
        <v>392</v>
      </c>
      <c r="F163" s="164" t="s">
        <v>1237</v>
      </c>
      <c r="G163" s="164" t="s">
        <v>1238</v>
      </c>
      <c r="H163" s="173">
        <v>43727.0</v>
      </c>
      <c r="I163" s="162" t="s">
        <v>1239</v>
      </c>
      <c r="J163" s="162" t="s">
        <v>1236</v>
      </c>
      <c r="K163" s="15" t="s">
        <v>466</v>
      </c>
      <c r="L163" s="15" t="s">
        <v>167</v>
      </c>
      <c r="M163" s="15" t="s">
        <v>31</v>
      </c>
      <c r="N163" s="15" t="s">
        <v>101</v>
      </c>
      <c r="O163" s="15" t="s">
        <v>35</v>
      </c>
      <c r="Q163" s="15" t="s">
        <v>195</v>
      </c>
      <c r="R163" s="166"/>
      <c r="S163" s="120"/>
      <c r="T163" s="69"/>
      <c r="U163" s="69">
        <v>4500000.0</v>
      </c>
      <c r="V163" s="132">
        <v>0.2</v>
      </c>
      <c r="W163" s="96">
        <f t="shared" si="125"/>
        <v>3600000</v>
      </c>
      <c r="X163" s="98">
        <f t="shared" si="126"/>
        <v>3600000</v>
      </c>
      <c r="Y163" s="99" t="str">
        <f t="shared" si="127"/>
        <v>$2M - $4M</v>
      </c>
      <c r="Z163" s="15" t="s">
        <v>86</v>
      </c>
      <c r="AA163" s="15" t="s">
        <v>37</v>
      </c>
      <c r="AB163" s="15" t="s">
        <v>88</v>
      </c>
      <c r="AC163" s="15" t="s">
        <v>493</v>
      </c>
      <c r="AD163" s="15" t="s">
        <v>39</v>
      </c>
      <c r="AE163" s="15" t="s">
        <v>89</v>
      </c>
      <c r="AF163" s="15" t="s">
        <v>469</v>
      </c>
      <c r="AG163" s="69">
        <v>2.8E10</v>
      </c>
      <c r="AH163" s="97" t="str">
        <f t="shared" si="128"/>
        <v>$25B-$50B</v>
      </c>
      <c r="AI163" s="69">
        <v>2.8E10</v>
      </c>
      <c r="AJ163" s="97" t="str">
        <f t="shared" si="129"/>
        <v>$25B-$50B</v>
      </c>
      <c r="AK163" s="167">
        <v>0.22</v>
      </c>
      <c r="AL163" s="88" t="str">
        <f t="shared" si="130"/>
        <v>20%-30%</v>
      </c>
      <c r="AM163" s="15">
        <v>3.0</v>
      </c>
      <c r="AN163" s="15" t="s">
        <v>89</v>
      </c>
      <c r="AO163" s="15" t="s">
        <v>89</v>
      </c>
      <c r="AP163" s="15" t="s">
        <v>106</v>
      </c>
      <c r="AQ163" s="168"/>
      <c r="AR163" s="168"/>
      <c r="AS163" s="15" t="s">
        <v>469</v>
      </c>
      <c r="AT163" s="15" t="s">
        <v>469</v>
      </c>
      <c r="AU163" s="15" t="s">
        <v>493</v>
      </c>
      <c r="AV163" s="15" t="s">
        <v>493</v>
      </c>
      <c r="AW163" s="69">
        <v>234.0</v>
      </c>
      <c r="AX163" s="96" t="str">
        <f t="shared" si="131"/>
        <v>&lt; $10K</v>
      </c>
      <c r="AY163" s="69">
        <v>15035.0</v>
      </c>
      <c r="AZ163" s="69">
        <v>723992.0</v>
      </c>
      <c r="BA163" s="103" t="str">
        <f t="shared" si="132"/>
        <v>$500K - $1M</v>
      </c>
      <c r="BB163" s="103">
        <f t="shared" si="133"/>
        <v>0.02076680405</v>
      </c>
      <c r="BC163" s="103" t="str">
        <f t="shared" si="134"/>
        <v>&lt; 10%</v>
      </c>
      <c r="BD163" s="15" t="s">
        <v>107</v>
      </c>
      <c r="BF163" s="15" t="s">
        <v>493</v>
      </c>
      <c r="BG163" s="15">
        <v>0.0</v>
      </c>
      <c r="BH163" s="15">
        <v>1.0</v>
      </c>
      <c r="BI163" s="15" t="s">
        <v>493</v>
      </c>
      <c r="BJ163" s="15" t="s">
        <v>469</v>
      </c>
      <c r="BK163" s="15" t="s">
        <v>469</v>
      </c>
      <c r="BL163" s="15" t="s">
        <v>469</v>
      </c>
      <c r="BM163" s="15">
        <v>2.0</v>
      </c>
      <c r="BN163" s="15">
        <v>2.0</v>
      </c>
      <c r="BO163" s="15">
        <v>1.0</v>
      </c>
      <c r="BP163" s="15">
        <v>0.0</v>
      </c>
      <c r="BQ163" s="108"/>
      <c r="BR163" s="15">
        <v>7.0</v>
      </c>
      <c r="BS163" s="15">
        <v>0.0</v>
      </c>
      <c r="BT163" s="15">
        <v>0.0</v>
      </c>
      <c r="BU163" s="15">
        <v>49.0</v>
      </c>
      <c r="BV163" s="15" t="s">
        <v>469</v>
      </c>
      <c r="BW163" s="108"/>
      <c r="CC163" s="108"/>
      <c r="CI163" s="108"/>
      <c r="CO163" s="108"/>
      <c r="CU163" s="108"/>
      <c r="DA163" s="108"/>
      <c r="DG163" s="108"/>
      <c r="DM163" s="108"/>
      <c r="DS163" s="108"/>
      <c r="DT163" s="108"/>
      <c r="DU163" s="108"/>
      <c r="DW163" s="109"/>
      <c r="DX163" s="110">
        <f t="shared" si="13"/>
        <v>7</v>
      </c>
      <c r="DY163" s="111">
        <f t="shared" ref="DY163:DZ163" si="385">sum(BS163,BY163,CE163,CK163,CQ163,CW163,DC163,DI163,DO163)</f>
        <v>0</v>
      </c>
      <c r="DZ163" s="111">
        <f t="shared" si="385"/>
        <v>0</v>
      </c>
      <c r="EA163" s="110">
        <f t="shared" si="15"/>
        <v>49</v>
      </c>
      <c r="EB163" s="99" t="str">
        <f t="shared" si="16"/>
        <v>35 - 54</v>
      </c>
      <c r="EC163" s="112"/>
      <c r="ED163" s="113">
        <f t="shared" si="17"/>
        <v>4.6</v>
      </c>
      <c r="EE163" s="114">
        <f>IF(V163 &lt;&gt; "", 1+((V163-MIN(discount_rates))*(4)/(MAX(discount_rates) - MIN(discount_rates))), "")</f>
        <v>3.105263158</v>
      </c>
      <c r="EF163" s="114" t="str">
        <f>IF(Q163="Debt", (1+((S163-MIN(interest_rates))*(4)/(MAX(interest_rates) - MIN(interest_rates)))), "")</f>
        <v/>
      </c>
      <c r="EG163" s="114" t="str">
        <f>IF(OR(Q163="Revenue Share", Q163="Profit Share"), (1+((R163-MIN(return_mutiples))*(4)/(MAX(return_mutiples) - MIN(return_mutiples)))), "")</f>
        <v/>
      </c>
      <c r="EH163" s="115">
        <f t="shared" si="18"/>
        <v>4.6</v>
      </c>
      <c r="EI163" s="116" t="str">
        <f t="shared" si="19"/>
        <v>SAFE</v>
      </c>
      <c r="EJ163" s="117">
        <f t="shared" si="20"/>
        <v>0.3561643836</v>
      </c>
      <c r="EK163" s="116" t="str">
        <f t="shared" si="21"/>
        <v>Early</v>
      </c>
      <c r="EL163" s="112"/>
      <c r="EM163" s="118">
        <f t="shared" si="22"/>
        <v>3.6</v>
      </c>
      <c r="EN163" s="118">
        <f t="shared" si="23"/>
        <v>3</v>
      </c>
      <c r="EO163" s="119">
        <f t="shared" si="24"/>
        <v>6.6</v>
      </c>
      <c r="EP163" s="115">
        <f>1+((EO163-MIN(market_ratings_sums))*(4)/(MAX(market_ratings_sums) - MIN(market_ratings_sums)))</f>
        <v>3.736842105</v>
      </c>
      <c r="EQ163" s="116" t="str">
        <f t="shared" si="25"/>
        <v>No</v>
      </c>
      <c r="ER163" s="112"/>
      <c r="ES163" s="123">
        <f>1+((DX163-MIN(industry_experiences))*(4)/(MAX(industry_experiences) - MIN(industry_experiences)))</f>
        <v>1.666666667</v>
      </c>
      <c r="ET163" s="123">
        <f>1+((DY163-MIN(previous_startups))*(4)/(MAX(previous_startups) - MIN(previous_startups)))</f>
        <v>1</v>
      </c>
      <c r="EU163" s="123">
        <f>1+((DZ163-MIN(exits))*(4)/(MAX(exits) - MIN(exits)))</f>
        <v>1</v>
      </c>
      <c r="EV163" s="119">
        <f t="shared" si="26"/>
        <v>3.666666667</v>
      </c>
      <c r="EW163" s="124">
        <f>1+((EV163-MIN(team_ratings_sums))*(4)/(MAX(team_ratings_sums) - MIN(team_ratings_sums)))</f>
        <v>1.365217391</v>
      </c>
      <c r="EX163" s="116" t="str">
        <f t="shared" si="27"/>
        <v>35 - 54</v>
      </c>
      <c r="EY163" s="125">
        <f t="shared" si="28"/>
        <v>0.6849315068</v>
      </c>
      <c r="EZ163" s="116">
        <f t="shared" si="29"/>
        <v>1</v>
      </c>
      <c r="FA163" s="125">
        <f t="shared" si="30"/>
        <v>0.4383561644</v>
      </c>
      <c r="FB163" s="116">
        <f t="shared" si="31"/>
        <v>2</v>
      </c>
      <c r="FC163" s="125">
        <f t="shared" si="32"/>
        <v>0.1369863014</v>
      </c>
      <c r="FD163" s="116" t="str">
        <f t="shared" si="33"/>
        <v>Yes</v>
      </c>
      <c r="FE163" s="125">
        <f t="shared" si="34"/>
        <v>0.2465753425</v>
      </c>
      <c r="FF163" s="116" t="str">
        <f t="shared" ref="FF163:FH163" si="386">BJ163</f>
        <v>No</v>
      </c>
      <c r="FG163" s="116" t="str">
        <f t="shared" si="386"/>
        <v>No</v>
      </c>
      <c r="FH163" s="116" t="str">
        <f t="shared" si="386"/>
        <v>No</v>
      </c>
      <c r="FI163" s="112"/>
      <c r="FJ163" s="116" t="str">
        <f t="shared" si="36"/>
        <v>Recurring</v>
      </c>
      <c r="FK163" s="125">
        <f t="shared" si="37"/>
        <v>0.397260274</v>
      </c>
      <c r="FL163" s="116" t="str">
        <f t="shared" si="38"/>
        <v>B2B</v>
      </c>
      <c r="FM163" s="125">
        <f t="shared" si="39"/>
        <v>0.2465753425</v>
      </c>
      <c r="FN163" s="116" t="str">
        <f t="shared" si="40"/>
        <v>High</v>
      </c>
      <c r="FO163" s="125">
        <f t="shared" si="41"/>
        <v>0.5616438356</v>
      </c>
      <c r="FP163" s="116" t="str">
        <f t="shared" si="42"/>
        <v>Low</v>
      </c>
      <c r="FQ163" s="125">
        <f t="shared" si="43"/>
        <v>0.3561643836</v>
      </c>
      <c r="FR163" s="112"/>
      <c r="FS163" s="123">
        <f t="shared" si="44"/>
        <v>5</v>
      </c>
      <c r="FT163" s="123">
        <f t="shared" si="45"/>
        <v>1</v>
      </c>
      <c r="FU163" s="123">
        <f t="shared" si="46"/>
        <v>5</v>
      </c>
      <c r="FV163" s="123">
        <f t="shared" si="47"/>
        <v>3.2</v>
      </c>
      <c r="FW163" s="119">
        <f t="shared" si="48"/>
        <v>14.2</v>
      </c>
      <c r="FX163" s="115">
        <f>1+((FW163-MIN(performance_ratings_sums))*(4)/(MAX(performance_ratings_sums) - MIN(performance_ratings_sums)))</f>
        <v>3.803738318</v>
      </c>
      <c r="FY163" s="116" t="str">
        <f t="shared" si="49"/>
        <v>Pre-Profit</v>
      </c>
      <c r="FZ163" s="126">
        <f t="shared" si="50"/>
        <v>0.4931506849</v>
      </c>
      <c r="GA163" s="112"/>
      <c r="GB163" s="127">
        <f t="shared" si="51"/>
        <v>1</v>
      </c>
      <c r="GC163" s="116" t="str">
        <f t="shared" si="52"/>
        <v>No</v>
      </c>
      <c r="GD163" s="126">
        <f t="shared" si="53"/>
        <v>0.7671232877</v>
      </c>
      <c r="GE163" s="126" t="str">
        <f t="shared" si="54"/>
        <v/>
      </c>
      <c r="GF163" s="126">
        <f t="shared" si="55"/>
        <v>0</v>
      </c>
      <c r="GG163" s="126" t="str">
        <f t="shared" si="56"/>
        <v/>
      </c>
      <c r="GH163" s="126">
        <f t="shared" si="57"/>
        <v>0</v>
      </c>
      <c r="GI163" s="112"/>
      <c r="GJ163" s="116"/>
      <c r="GK163" s="119">
        <f t="shared" si="58"/>
        <v>14.50579781</v>
      </c>
      <c r="GL163" s="128">
        <f>1+((GK163-MIN(ratings_sums))*(4)/(MAX(ratings_sums) - MIN(ratings_sums)))</f>
        <v>3.24355473</v>
      </c>
    </row>
    <row r="164" ht="15.75" customHeight="1">
      <c r="A164" s="161" t="s">
        <v>1128</v>
      </c>
      <c r="B164" s="15">
        <v>1784430.0</v>
      </c>
      <c r="C164" s="162" t="s">
        <v>1240</v>
      </c>
      <c r="D164" s="163">
        <v>43749.438888888886</v>
      </c>
      <c r="E164" s="15" t="s">
        <v>381</v>
      </c>
      <c r="F164" s="164" t="s">
        <v>1241</v>
      </c>
      <c r="G164" s="164" t="s">
        <v>1242</v>
      </c>
      <c r="H164" s="173">
        <v>43875.0</v>
      </c>
      <c r="I164" s="162" t="s">
        <v>1243</v>
      </c>
      <c r="J164" s="162" t="s">
        <v>1240</v>
      </c>
      <c r="K164" s="15" t="s">
        <v>354</v>
      </c>
      <c r="L164" s="15" t="s">
        <v>133</v>
      </c>
      <c r="M164" s="15" t="s">
        <v>31</v>
      </c>
      <c r="N164" s="15" t="s">
        <v>32</v>
      </c>
      <c r="O164" s="15" t="s">
        <v>35</v>
      </c>
      <c r="Q164" s="15" t="s">
        <v>121</v>
      </c>
      <c r="R164" s="166"/>
      <c r="S164" s="120"/>
      <c r="T164" s="69">
        <v>5040000.0</v>
      </c>
      <c r="U164" s="69"/>
      <c r="V164" s="132"/>
      <c r="W164" s="96" t="str">
        <f t="shared" si="125"/>
        <v/>
      </c>
      <c r="X164" s="98">
        <f t="shared" si="126"/>
        <v>5040000</v>
      </c>
      <c r="Y164" s="99" t="str">
        <f t="shared" si="127"/>
        <v>$4M - $6M</v>
      </c>
      <c r="Z164" s="15" t="s">
        <v>36</v>
      </c>
      <c r="AA164" s="15" t="s">
        <v>123</v>
      </c>
      <c r="AB164" s="15" t="s">
        <v>38</v>
      </c>
      <c r="AC164" s="15" t="s">
        <v>493</v>
      </c>
      <c r="AD164" s="15" t="s">
        <v>39</v>
      </c>
      <c r="AE164" s="15" t="s">
        <v>89</v>
      </c>
      <c r="AF164" s="15" t="s">
        <v>469</v>
      </c>
      <c r="AG164" s="69">
        <v>2.0E11</v>
      </c>
      <c r="AH164" s="97" t="str">
        <f t="shared" si="128"/>
        <v>$100B-$250B</v>
      </c>
      <c r="AI164" s="69">
        <v>2.0E11</v>
      </c>
      <c r="AJ164" s="97" t="str">
        <f t="shared" si="129"/>
        <v>$100B-$250B</v>
      </c>
      <c r="AK164" s="167">
        <v>0.16</v>
      </c>
      <c r="AL164" s="88" t="str">
        <f t="shared" si="130"/>
        <v>10%-20%</v>
      </c>
      <c r="AM164" s="15">
        <v>0.0</v>
      </c>
      <c r="AN164" s="15" t="s">
        <v>39</v>
      </c>
      <c r="AO164" s="15" t="s">
        <v>89</v>
      </c>
      <c r="AP164" s="15" t="s">
        <v>90</v>
      </c>
      <c r="AQ164" s="168"/>
      <c r="AR164" s="168"/>
      <c r="AS164" s="15" t="s">
        <v>469</v>
      </c>
      <c r="AT164" s="15" t="s">
        <v>469</v>
      </c>
      <c r="AU164" s="15" t="s">
        <v>493</v>
      </c>
      <c r="AV164" s="15" t="s">
        <v>493</v>
      </c>
      <c r="AW164" s="69">
        <v>0.0</v>
      </c>
      <c r="AX164" s="96" t="str">
        <f t="shared" si="131"/>
        <v>&lt; $10K</v>
      </c>
      <c r="AY164" s="69">
        <v>0.0</v>
      </c>
      <c r="AZ164" s="69">
        <v>0.0</v>
      </c>
      <c r="BA164" s="103" t="str">
        <f t="shared" si="132"/>
        <v>&lt; $10K</v>
      </c>
      <c r="BB164" s="103">
        <f t="shared" si="133"/>
        <v>1</v>
      </c>
      <c r="BC164" s="103" t="str">
        <f t="shared" si="134"/>
        <v>90% - 100%</v>
      </c>
      <c r="BD164" s="15" t="s">
        <v>107</v>
      </c>
      <c r="BF164" s="15" t="s">
        <v>493</v>
      </c>
      <c r="BG164" s="15">
        <v>200.0</v>
      </c>
      <c r="BH164" s="15">
        <v>2.0</v>
      </c>
      <c r="BI164" s="15" t="s">
        <v>469</v>
      </c>
      <c r="BJ164" s="15" t="s">
        <v>469</v>
      </c>
      <c r="BK164" s="15" t="s">
        <v>493</v>
      </c>
      <c r="BL164" s="15" t="s">
        <v>469</v>
      </c>
      <c r="BM164" s="15">
        <v>2.0</v>
      </c>
      <c r="BN164" s="15">
        <v>2.0</v>
      </c>
      <c r="BO164" s="15">
        <v>1.0</v>
      </c>
      <c r="BP164" s="15">
        <v>0.0</v>
      </c>
      <c r="BQ164" s="108"/>
      <c r="BR164" s="15">
        <v>0.0</v>
      </c>
      <c r="BS164" s="15">
        <v>0.0</v>
      </c>
      <c r="BT164" s="15">
        <v>0.0</v>
      </c>
      <c r="BU164" s="15">
        <v>28.0</v>
      </c>
      <c r="BV164" s="15" t="s">
        <v>469</v>
      </c>
      <c r="BW164" s="108"/>
      <c r="BX164" s="15">
        <v>0.0</v>
      </c>
      <c r="BY164" s="15">
        <v>1.0</v>
      </c>
      <c r="BZ164" s="15">
        <v>0.0</v>
      </c>
      <c r="CA164" s="15">
        <v>26.0</v>
      </c>
      <c r="CB164" s="15" t="s">
        <v>469</v>
      </c>
      <c r="CC164" s="108"/>
      <c r="CI164" s="108"/>
      <c r="CO164" s="108"/>
      <c r="CU164" s="108"/>
      <c r="DA164" s="108"/>
      <c r="DG164" s="108"/>
      <c r="DM164" s="108"/>
      <c r="DS164" s="108"/>
      <c r="DT164" s="108"/>
      <c r="DU164" s="108"/>
      <c r="DW164" s="109"/>
      <c r="DX164" s="110">
        <f t="shared" si="13"/>
        <v>0</v>
      </c>
      <c r="DY164" s="111">
        <f t="shared" ref="DY164:DZ164" si="387">sum(BS164,BY164,CE164,CK164,CQ164,CW164,DC164,DI164,DO164)</f>
        <v>1</v>
      </c>
      <c r="DZ164" s="111">
        <f t="shared" si="387"/>
        <v>0</v>
      </c>
      <c r="EA164" s="110">
        <f t="shared" si="15"/>
        <v>27</v>
      </c>
      <c r="EB164" s="99" t="str">
        <f t="shared" si="16"/>
        <v>20 - 34</v>
      </c>
      <c r="EC164" s="112"/>
      <c r="ED164" s="113">
        <f t="shared" si="17"/>
        <v>4.4</v>
      </c>
      <c r="EE164" s="114" t="str">
        <f>IF(V164 &lt;&gt; "", 1+((V164-MIN(discount_rates))*(4)/(MAX(discount_rates) - MIN(discount_rates))), "")</f>
        <v/>
      </c>
      <c r="EF164" s="114" t="str">
        <f>IF(Q164="Debt", (1+((S164-MIN(interest_rates))*(4)/(MAX(interest_rates) - MIN(interest_rates)))), "")</f>
        <v/>
      </c>
      <c r="EG164" s="114" t="str">
        <f>IF(OR(Q164="Revenue Share", Q164="Profit Share"), (1+((R164-MIN(return_mutiples))*(4)/(MAX(return_mutiples) - MIN(return_mutiples)))), "")</f>
        <v/>
      </c>
      <c r="EH164" s="115">
        <f t="shared" si="18"/>
        <v>4.4</v>
      </c>
      <c r="EI164" s="116" t="str">
        <f t="shared" si="19"/>
        <v>Equity - Common</v>
      </c>
      <c r="EJ164" s="117">
        <f t="shared" si="20"/>
        <v>0.3287671233</v>
      </c>
      <c r="EK164" s="116" t="str">
        <f t="shared" si="21"/>
        <v>Early</v>
      </c>
      <c r="EL164" s="112"/>
      <c r="EM164" s="118">
        <f t="shared" si="22"/>
        <v>4.1</v>
      </c>
      <c r="EN164" s="118">
        <f t="shared" si="23"/>
        <v>2.3</v>
      </c>
      <c r="EO164" s="119">
        <f t="shared" si="24"/>
        <v>6.4</v>
      </c>
      <c r="EP164" s="115">
        <f>1+((EO164-MIN(market_ratings_sums))*(4)/(MAX(market_ratings_sums) - MIN(market_ratings_sums)))</f>
        <v>3.596491228</v>
      </c>
      <c r="EQ164" s="116" t="str">
        <f t="shared" si="25"/>
        <v>No</v>
      </c>
      <c r="ER164" s="112"/>
      <c r="ES164" s="123">
        <f>1+((DX164-MIN(industry_experiences))*(4)/(MAX(industry_experiences) - MIN(industry_experiences)))</f>
        <v>1</v>
      </c>
      <c r="ET164" s="123">
        <f>1+((DY164-MIN(previous_startups))*(4)/(MAX(previous_startups) - MIN(previous_startups)))</f>
        <v>1.444444444</v>
      </c>
      <c r="EU164" s="123">
        <f>1+((DZ164-MIN(exits))*(4)/(MAX(exits) - MIN(exits)))</f>
        <v>1</v>
      </c>
      <c r="EV164" s="119">
        <f t="shared" si="26"/>
        <v>3.444444444</v>
      </c>
      <c r="EW164" s="124">
        <f>1+((EV164-MIN(team_ratings_sums))*(4)/(MAX(team_ratings_sums) - MIN(team_ratings_sums)))</f>
        <v>1.243478261</v>
      </c>
      <c r="EX164" s="116" t="str">
        <f t="shared" si="27"/>
        <v>20 - 34</v>
      </c>
      <c r="EY164" s="125">
        <f t="shared" si="28"/>
        <v>0.2054794521</v>
      </c>
      <c r="EZ164" s="116">
        <f t="shared" si="29"/>
        <v>2</v>
      </c>
      <c r="FA164" s="125">
        <f t="shared" si="30"/>
        <v>0.4520547945</v>
      </c>
      <c r="FB164" s="116">
        <f t="shared" si="31"/>
        <v>2</v>
      </c>
      <c r="FC164" s="125">
        <f t="shared" si="32"/>
        <v>0.1369863014</v>
      </c>
      <c r="FD164" s="116" t="str">
        <f t="shared" si="33"/>
        <v>No</v>
      </c>
      <c r="FE164" s="125">
        <f t="shared" si="34"/>
        <v>0.7534246575</v>
      </c>
      <c r="FF164" s="116" t="str">
        <f t="shared" ref="FF164:FH164" si="388">BJ164</f>
        <v>No</v>
      </c>
      <c r="FG164" s="116" t="str">
        <f t="shared" si="388"/>
        <v>Yes</v>
      </c>
      <c r="FH164" s="116" t="str">
        <f t="shared" si="388"/>
        <v>No</v>
      </c>
      <c r="FI164" s="112"/>
      <c r="FJ164" s="116" t="str">
        <f t="shared" si="36"/>
        <v>Transactional</v>
      </c>
      <c r="FK164" s="125">
        <f t="shared" si="37"/>
        <v>0.602739726</v>
      </c>
      <c r="FL164" s="116" t="str">
        <f t="shared" si="38"/>
        <v>B2B/B2C</v>
      </c>
      <c r="FM164" s="125">
        <f t="shared" si="39"/>
        <v>0.3287671233</v>
      </c>
      <c r="FN164" s="116" t="str">
        <f t="shared" si="40"/>
        <v>High</v>
      </c>
      <c r="FO164" s="125">
        <f t="shared" si="41"/>
        <v>0.5616438356</v>
      </c>
      <c r="FP164" s="116" t="str">
        <f t="shared" si="42"/>
        <v>Low</v>
      </c>
      <c r="FQ164" s="125">
        <f t="shared" si="43"/>
        <v>0.3561643836</v>
      </c>
      <c r="FR164" s="112"/>
      <c r="FS164" s="123">
        <f t="shared" si="44"/>
        <v>5</v>
      </c>
      <c r="FT164" s="123">
        <f t="shared" si="45"/>
        <v>1</v>
      </c>
      <c r="FU164" s="123">
        <f t="shared" si="46"/>
        <v>1</v>
      </c>
      <c r="FV164" s="123">
        <f t="shared" si="47"/>
        <v>5</v>
      </c>
      <c r="FW164" s="119">
        <f t="shared" si="48"/>
        <v>12</v>
      </c>
      <c r="FX164" s="115">
        <f>1+((FW164-MIN(performance_ratings_sums))*(4)/(MAX(performance_ratings_sums) - MIN(performance_ratings_sums)))</f>
        <v>2.981308411</v>
      </c>
      <c r="FY164" s="116" t="str">
        <f t="shared" si="49"/>
        <v>Pre-Profit</v>
      </c>
      <c r="FZ164" s="126">
        <f t="shared" si="50"/>
        <v>0.4931506849</v>
      </c>
      <c r="GA164" s="112"/>
      <c r="GB164" s="127">
        <f t="shared" si="51"/>
        <v>3</v>
      </c>
      <c r="GC164" s="116" t="str">
        <f t="shared" si="52"/>
        <v>No</v>
      </c>
      <c r="GD164" s="126">
        <f t="shared" si="53"/>
        <v>0.7671232877</v>
      </c>
      <c r="GE164" s="126" t="str">
        <f t="shared" si="54"/>
        <v/>
      </c>
      <c r="GF164" s="126">
        <f t="shared" si="55"/>
        <v>0</v>
      </c>
      <c r="GG164" s="126" t="str">
        <f t="shared" si="56"/>
        <v/>
      </c>
      <c r="GH164" s="126">
        <f t="shared" si="57"/>
        <v>0</v>
      </c>
      <c r="GI164" s="112"/>
      <c r="GJ164" s="116"/>
      <c r="GK164" s="119">
        <f t="shared" si="58"/>
        <v>15.2212779</v>
      </c>
      <c r="GL164" s="128">
        <f>1+((GK164-MIN(ratings_sums))*(4)/(MAX(ratings_sums) - MIN(ratings_sums)))</f>
        <v>3.463092616</v>
      </c>
    </row>
    <row r="165" ht="15.75" customHeight="1">
      <c r="A165" s="161" t="s">
        <v>1128</v>
      </c>
      <c r="B165" s="15">
        <v>1782117.0</v>
      </c>
      <c r="C165" s="162" t="s">
        <v>1244</v>
      </c>
      <c r="D165" s="163">
        <v>43749.444444444445</v>
      </c>
      <c r="E165" s="15" t="s">
        <v>381</v>
      </c>
      <c r="F165" s="164" t="s">
        <v>1245</v>
      </c>
      <c r="G165" s="164" t="s">
        <v>1246</v>
      </c>
      <c r="H165" s="173">
        <v>43896.0</v>
      </c>
      <c r="I165" s="162" t="s">
        <v>1247</v>
      </c>
      <c r="J165" s="162" t="s">
        <v>1244</v>
      </c>
      <c r="K165" s="15" t="s">
        <v>153</v>
      </c>
      <c r="L165" s="15" t="s">
        <v>390</v>
      </c>
      <c r="M165" s="15" t="s">
        <v>81</v>
      </c>
      <c r="N165" s="15" t="s">
        <v>101</v>
      </c>
      <c r="O165" s="15" t="s">
        <v>35</v>
      </c>
      <c r="Q165" s="15" t="s">
        <v>121</v>
      </c>
      <c r="R165" s="166"/>
      <c r="S165" s="120"/>
      <c r="T165" s="69">
        <v>6000000.0</v>
      </c>
      <c r="U165" s="69"/>
      <c r="V165" s="132"/>
      <c r="W165" s="96" t="str">
        <f t="shared" si="125"/>
        <v/>
      </c>
      <c r="X165" s="98">
        <f t="shared" si="126"/>
        <v>6000000</v>
      </c>
      <c r="Y165" s="99" t="str">
        <f t="shared" si="127"/>
        <v>$4M - $6M</v>
      </c>
      <c r="Z165" s="15" t="s">
        <v>36</v>
      </c>
      <c r="AA165" s="15" t="s">
        <v>123</v>
      </c>
      <c r="AB165" s="15" t="s">
        <v>38</v>
      </c>
      <c r="AC165" s="15" t="s">
        <v>493</v>
      </c>
      <c r="AD165" s="15" t="s">
        <v>89</v>
      </c>
      <c r="AE165" s="15" t="s">
        <v>89</v>
      </c>
      <c r="AF165" s="15" t="s">
        <v>469</v>
      </c>
      <c r="AG165" s="69">
        <v>9.479E11</v>
      </c>
      <c r="AH165" s="97" t="str">
        <f t="shared" si="128"/>
        <v>$500B-$1T</v>
      </c>
      <c r="AI165" s="69">
        <v>9.479E11</v>
      </c>
      <c r="AJ165" s="97" t="str">
        <f t="shared" si="129"/>
        <v>$500B-$1T</v>
      </c>
      <c r="AK165" s="167">
        <v>0.12</v>
      </c>
      <c r="AL165" s="88" t="str">
        <f t="shared" si="130"/>
        <v>10%-20%</v>
      </c>
      <c r="AM165" s="15">
        <v>22.0</v>
      </c>
      <c r="AN165" s="15" t="s">
        <v>89</v>
      </c>
      <c r="AO165" s="15" t="s">
        <v>89</v>
      </c>
      <c r="AP165" s="15" t="s">
        <v>40</v>
      </c>
      <c r="AQ165" s="168"/>
      <c r="AR165" s="168"/>
      <c r="AS165" s="15" t="s">
        <v>469</v>
      </c>
      <c r="AT165" s="15" t="s">
        <v>469</v>
      </c>
      <c r="AU165" s="15" t="s">
        <v>493</v>
      </c>
      <c r="AV165" s="15" t="s">
        <v>493</v>
      </c>
      <c r="AW165" s="69">
        <v>334811.0</v>
      </c>
      <c r="AX165" s="96" t="str">
        <f t="shared" si="131"/>
        <v>$100K - $500K</v>
      </c>
      <c r="AY165" s="69">
        <v>11082.0</v>
      </c>
      <c r="AZ165" s="69">
        <v>136000.0</v>
      </c>
      <c r="BA165" s="103" t="str">
        <f t="shared" si="132"/>
        <v>$100K - $500K</v>
      </c>
      <c r="BB165" s="103">
        <f t="shared" si="133"/>
        <v>0.08148529412</v>
      </c>
      <c r="BC165" s="103" t="str">
        <f t="shared" si="134"/>
        <v>&lt; 10%</v>
      </c>
      <c r="BD165" s="15" t="s">
        <v>107</v>
      </c>
      <c r="BF165" s="15" t="s">
        <v>469</v>
      </c>
      <c r="BG165" s="15">
        <v>0.0</v>
      </c>
      <c r="BH165" s="15">
        <v>2.0</v>
      </c>
      <c r="BI165" s="15" t="s">
        <v>493</v>
      </c>
      <c r="BJ165" s="15" t="s">
        <v>493</v>
      </c>
      <c r="BK165" s="15" t="s">
        <v>493</v>
      </c>
      <c r="BL165" s="15" t="s">
        <v>469</v>
      </c>
      <c r="BM165" s="15">
        <v>4.0</v>
      </c>
      <c r="BN165" s="15">
        <v>2.0</v>
      </c>
      <c r="BO165" s="15">
        <v>0.0</v>
      </c>
      <c r="BP165" s="15">
        <v>0.0</v>
      </c>
      <c r="BQ165" s="108"/>
      <c r="BR165" s="15">
        <v>6.0</v>
      </c>
      <c r="BS165" s="15">
        <v>1.0</v>
      </c>
      <c r="BT165" s="15">
        <v>0.0</v>
      </c>
      <c r="BU165" s="15">
        <v>38.0</v>
      </c>
      <c r="BV165" s="15" t="s">
        <v>469</v>
      </c>
      <c r="BW165" s="108"/>
      <c r="BX165" s="15">
        <v>6.0</v>
      </c>
      <c r="BY165" s="15">
        <v>0.0</v>
      </c>
      <c r="BZ165" s="15">
        <v>0.0</v>
      </c>
      <c r="CA165" s="15">
        <v>30.0</v>
      </c>
      <c r="CB165" s="15" t="s">
        <v>469</v>
      </c>
      <c r="CC165" s="108"/>
      <c r="CI165" s="108"/>
      <c r="CO165" s="108"/>
      <c r="CU165" s="108"/>
      <c r="DA165" s="108"/>
      <c r="DG165" s="108"/>
      <c r="DM165" s="108"/>
      <c r="DS165" s="108"/>
      <c r="DT165" s="108"/>
      <c r="DU165" s="108"/>
      <c r="DW165" s="109"/>
      <c r="DX165" s="110">
        <f t="shared" si="13"/>
        <v>6</v>
      </c>
      <c r="DY165" s="111">
        <f t="shared" ref="DY165:DZ165" si="389">sum(BS165,BY165,CE165,CK165,CQ165,CW165,DC165,DI165,DO165)</f>
        <v>1</v>
      </c>
      <c r="DZ165" s="111">
        <f t="shared" si="389"/>
        <v>0</v>
      </c>
      <c r="EA165" s="110">
        <f t="shared" si="15"/>
        <v>34</v>
      </c>
      <c r="EB165" s="99" t="str">
        <f t="shared" si="16"/>
        <v>20 - 34</v>
      </c>
      <c r="EC165" s="112"/>
      <c r="ED165" s="113">
        <f t="shared" si="17"/>
        <v>4.4</v>
      </c>
      <c r="EE165" s="114" t="str">
        <f>IF(V165 &lt;&gt; "", 1+((V165-MIN(discount_rates))*(4)/(MAX(discount_rates) - MIN(discount_rates))), "")</f>
        <v/>
      </c>
      <c r="EF165" s="114" t="str">
        <f>IF(Q165="Debt", (1+((S165-MIN(interest_rates))*(4)/(MAX(interest_rates) - MIN(interest_rates)))), "")</f>
        <v/>
      </c>
      <c r="EG165" s="114" t="str">
        <f>IF(OR(Q165="Revenue Share", Q165="Profit Share"), (1+((R165-MIN(return_mutiples))*(4)/(MAX(return_mutiples) - MIN(return_mutiples)))), "")</f>
        <v/>
      </c>
      <c r="EH165" s="115">
        <f t="shared" si="18"/>
        <v>4.4</v>
      </c>
      <c r="EI165" s="116" t="str">
        <f t="shared" si="19"/>
        <v>Equity - Common</v>
      </c>
      <c r="EJ165" s="117">
        <f t="shared" si="20"/>
        <v>0.3287671233</v>
      </c>
      <c r="EK165" s="116" t="str">
        <f t="shared" si="21"/>
        <v>Growth</v>
      </c>
      <c r="EL165" s="112"/>
      <c r="EM165" s="118">
        <f t="shared" si="22"/>
        <v>4.7</v>
      </c>
      <c r="EN165" s="118">
        <f t="shared" si="23"/>
        <v>2.3</v>
      </c>
      <c r="EO165" s="119">
        <f t="shared" si="24"/>
        <v>7</v>
      </c>
      <c r="EP165" s="115">
        <f>1+((EO165-MIN(market_ratings_sums))*(4)/(MAX(market_ratings_sums) - MIN(market_ratings_sums)))</f>
        <v>4.01754386</v>
      </c>
      <c r="EQ165" s="116" t="str">
        <f t="shared" si="25"/>
        <v>No</v>
      </c>
      <c r="ER165" s="112"/>
      <c r="ES165" s="123">
        <f>1+((DX165-MIN(industry_experiences))*(4)/(MAX(industry_experiences) - MIN(industry_experiences)))</f>
        <v>1.571428571</v>
      </c>
      <c r="ET165" s="123">
        <f>1+((DY165-MIN(previous_startups))*(4)/(MAX(previous_startups) - MIN(previous_startups)))</f>
        <v>1.444444444</v>
      </c>
      <c r="EU165" s="123">
        <f>1+((DZ165-MIN(exits))*(4)/(MAX(exits) - MIN(exits)))</f>
        <v>1</v>
      </c>
      <c r="EV165" s="119">
        <f t="shared" si="26"/>
        <v>4.015873016</v>
      </c>
      <c r="EW165" s="124">
        <f>1+((EV165-MIN(team_ratings_sums))*(4)/(MAX(team_ratings_sums) - MIN(team_ratings_sums)))</f>
        <v>1.556521739</v>
      </c>
      <c r="EX165" s="116" t="str">
        <f t="shared" si="27"/>
        <v>20 - 34</v>
      </c>
      <c r="EY165" s="125">
        <f t="shared" si="28"/>
        <v>0.2054794521</v>
      </c>
      <c r="EZ165" s="116">
        <f t="shared" si="29"/>
        <v>2</v>
      </c>
      <c r="FA165" s="125">
        <f t="shared" si="30"/>
        <v>0.4520547945</v>
      </c>
      <c r="FB165" s="116">
        <f t="shared" si="31"/>
        <v>2</v>
      </c>
      <c r="FC165" s="125">
        <f t="shared" si="32"/>
        <v>0.1369863014</v>
      </c>
      <c r="FD165" s="116" t="str">
        <f t="shared" si="33"/>
        <v>Yes</v>
      </c>
      <c r="FE165" s="125">
        <f t="shared" si="34"/>
        <v>0.2465753425</v>
      </c>
      <c r="FF165" s="116" t="str">
        <f t="shared" ref="FF165:FH165" si="390">BJ165</f>
        <v>Yes</v>
      </c>
      <c r="FG165" s="116" t="str">
        <f t="shared" si="390"/>
        <v>Yes</v>
      </c>
      <c r="FH165" s="116" t="str">
        <f t="shared" si="390"/>
        <v>No</v>
      </c>
      <c r="FI165" s="112"/>
      <c r="FJ165" s="116" t="str">
        <f t="shared" si="36"/>
        <v>Transactional</v>
      </c>
      <c r="FK165" s="125">
        <f t="shared" si="37"/>
        <v>0.602739726</v>
      </c>
      <c r="FL165" s="116" t="str">
        <f t="shared" si="38"/>
        <v>B2B/B2C</v>
      </c>
      <c r="FM165" s="125">
        <f t="shared" si="39"/>
        <v>0.3287671233</v>
      </c>
      <c r="FN165" s="116" t="str">
        <f t="shared" si="40"/>
        <v>Low</v>
      </c>
      <c r="FO165" s="125">
        <f t="shared" si="41"/>
        <v>0.4383561644</v>
      </c>
      <c r="FP165" s="116" t="str">
        <f t="shared" si="42"/>
        <v>Low</v>
      </c>
      <c r="FQ165" s="125">
        <f t="shared" si="43"/>
        <v>0.3561643836</v>
      </c>
      <c r="FR165" s="112"/>
      <c r="FS165" s="123">
        <f t="shared" si="44"/>
        <v>5</v>
      </c>
      <c r="FT165" s="123">
        <f t="shared" si="45"/>
        <v>2.3</v>
      </c>
      <c r="FU165" s="123">
        <f t="shared" si="46"/>
        <v>5</v>
      </c>
      <c r="FV165" s="123">
        <f t="shared" si="47"/>
        <v>3.7</v>
      </c>
      <c r="FW165" s="119">
        <f t="shared" si="48"/>
        <v>16</v>
      </c>
      <c r="FX165" s="115">
        <f>1+((FW165-MIN(performance_ratings_sums))*(4)/(MAX(performance_ratings_sums) - MIN(performance_ratings_sums)))</f>
        <v>4.476635514</v>
      </c>
      <c r="FY165" s="116" t="str">
        <f t="shared" si="49"/>
        <v>Pre-Profit</v>
      </c>
      <c r="FZ165" s="126">
        <f t="shared" si="50"/>
        <v>0.4931506849</v>
      </c>
      <c r="GA165" s="112"/>
      <c r="GB165" s="127">
        <f t="shared" si="51"/>
        <v>1</v>
      </c>
      <c r="GC165" s="116" t="str">
        <f t="shared" si="52"/>
        <v>No</v>
      </c>
      <c r="GD165" s="126">
        <f t="shared" si="53"/>
        <v>0.7671232877</v>
      </c>
      <c r="GE165" s="126" t="str">
        <f t="shared" si="54"/>
        <v/>
      </c>
      <c r="GF165" s="126">
        <f t="shared" si="55"/>
        <v>0</v>
      </c>
      <c r="GG165" s="126" t="str">
        <f t="shared" si="56"/>
        <v/>
      </c>
      <c r="GH165" s="126">
        <f t="shared" si="57"/>
        <v>0</v>
      </c>
      <c r="GI165" s="112"/>
      <c r="GJ165" s="116"/>
      <c r="GK165" s="119">
        <f t="shared" si="58"/>
        <v>15.45070111</v>
      </c>
      <c r="GL165" s="128">
        <f>1+((GK165-MIN(ratings_sums))*(4)/(MAX(ratings_sums) - MIN(ratings_sums)))</f>
        <v>3.533488827</v>
      </c>
    </row>
    <row r="166" ht="15.75" customHeight="1">
      <c r="A166" s="161" t="s">
        <v>1128</v>
      </c>
      <c r="B166" s="15">
        <v>1785581.0</v>
      </c>
      <c r="C166" s="162" t="s">
        <v>1248</v>
      </c>
      <c r="D166" s="163">
        <v>43754.41805555556</v>
      </c>
      <c r="E166" s="15" t="s">
        <v>381</v>
      </c>
      <c r="F166" s="164" t="s">
        <v>1249</v>
      </c>
      <c r="G166" s="164" t="s">
        <v>1250</v>
      </c>
      <c r="H166" s="173">
        <v>43903.0</v>
      </c>
      <c r="I166" s="162" t="s">
        <v>1251</v>
      </c>
      <c r="J166" s="162" t="s">
        <v>1248</v>
      </c>
      <c r="K166" s="15" t="s">
        <v>549</v>
      </c>
      <c r="L166" s="15" t="s">
        <v>390</v>
      </c>
      <c r="M166" s="15" t="s">
        <v>31</v>
      </c>
      <c r="N166" s="15" t="s">
        <v>82</v>
      </c>
      <c r="O166" s="15" t="s">
        <v>35</v>
      </c>
      <c r="Q166" s="15" t="s">
        <v>121</v>
      </c>
      <c r="R166" s="166"/>
      <c r="S166" s="120"/>
      <c r="T166" s="69">
        <v>7504410.0</v>
      </c>
      <c r="U166" s="69"/>
      <c r="V166" s="132"/>
      <c r="W166" s="96" t="str">
        <f t="shared" si="125"/>
        <v/>
      </c>
      <c r="X166" s="98">
        <f t="shared" si="126"/>
        <v>7504410</v>
      </c>
      <c r="Y166" s="99" t="str">
        <f t="shared" si="127"/>
        <v>$6M - $8M</v>
      </c>
      <c r="Z166" s="15" t="s">
        <v>36</v>
      </c>
      <c r="AA166" s="15" t="s">
        <v>123</v>
      </c>
      <c r="AB166" s="15" t="s">
        <v>38</v>
      </c>
      <c r="AC166" s="15" t="s">
        <v>493</v>
      </c>
      <c r="AD166" s="15" t="s">
        <v>89</v>
      </c>
      <c r="AE166" s="15" t="s">
        <v>89</v>
      </c>
      <c r="AF166" s="15" t="s">
        <v>469</v>
      </c>
      <c r="AG166" s="69">
        <v>1.142E11</v>
      </c>
      <c r="AH166" s="97" t="str">
        <f t="shared" si="128"/>
        <v>$100B-$250B</v>
      </c>
      <c r="AI166" s="69">
        <v>2.76E10</v>
      </c>
      <c r="AJ166" s="97" t="str">
        <f t="shared" si="129"/>
        <v>$25B-$50B</v>
      </c>
      <c r="AK166" s="167">
        <v>0.04</v>
      </c>
      <c r="AL166" s="88" t="str">
        <f t="shared" si="130"/>
        <v>0%-10%</v>
      </c>
      <c r="AM166" s="32">
        <v>7450.0</v>
      </c>
      <c r="AN166" s="15" t="s">
        <v>89</v>
      </c>
      <c r="AO166" s="15" t="s">
        <v>89</v>
      </c>
      <c r="AP166" s="15" t="s">
        <v>40</v>
      </c>
      <c r="AQ166" s="168"/>
      <c r="AR166" s="168"/>
      <c r="AS166" s="15" t="s">
        <v>469</v>
      </c>
      <c r="AT166" s="15" t="s">
        <v>469</v>
      </c>
      <c r="AU166" s="15" t="s">
        <v>469</v>
      </c>
      <c r="AV166" s="15" t="s">
        <v>469</v>
      </c>
      <c r="AW166" s="69">
        <v>0.0</v>
      </c>
      <c r="AX166" s="96" t="str">
        <f t="shared" si="131"/>
        <v>&lt; $10K</v>
      </c>
      <c r="AY166" s="69">
        <v>1689.0</v>
      </c>
      <c r="AZ166" s="69">
        <v>54238.0</v>
      </c>
      <c r="BA166" s="103" t="str">
        <f t="shared" si="132"/>
        <v>$50K - $100K</v>
      </c>
      <c r="BB166" s="103">
        <f t="shared" si="133"/>
        <v>0.03114052878</v>
      </c>
      <c r="BC166" s="103" t="str">
        <f t="shared" si="134"/>
        <v>&lt; 10%</v>
      </c>
      <c r="BD166" s="15" t="s">
        <v>91</v>
      </c>
      <c r="BF166" s="15" t="s">
        <v>469</v>
      </c>
      <c r="BG166" s="15">
        <v>0.0</v>
      </c>
      <c r="BH166" s="15">
        <v>1.0</v>
      </c>
      <c r="BI166" s="15" t="s">
        <v>469</v>
      </c>
      <c r="BJ166" s="15" t="s">
        <v>469</v>
      </c>
      <c r="BK166" s="15" t="s">
        <v>469</v>
      </c>
      <c r="BL166" s="15" t="s">
        <v>469</v>
      </c>
      <c r="BM166" s="15">
        <v>1.0</v>
      </c>
      <c r="BN166" s="15">
        <v>2.0</v>
      </c>
      <c r="BO166" s="15">
        <v>1.0</v>
      </c>
      <c r="BP166" s="15">
        <v>0.0</v>
      </c>
      <c r="BQ166" s="108"/>
      <c r="BR166" s="15">
        <v>0.0</v>
      </c>
      <c r="BS166" s="15">
        <v>0.0</v>
      </c>
      <c r="BT166" s="15">
        <v>0.0</v>
      </c>
      <c r="BU166" s="15">
        <v>45.0</v>
      </c>
      <c r="BV166" s="15" t="s">
        <v>469</v>
      </c>
      <c r="BW166" s="108"/>
      <c r="CC166" s="108"/>
      <c r="CI166" s="108"/>
      <c r="CO166" s="108"/>
      <c r="CU166" s="108"/>
      <c r="DA166" s="108"/>
      <c r="DG166" s="108"/>
      <c r="DM166" s="108"/>
      <c r="DS166" s="108"/>
      <c r="DT166" s="108"/>
      <c r="DU166" s="108"/>
      <c r="DW166" s="109"/>
      <c r="DX166" s="110">
        <f t="shared" si="13"/>
        <v>0</v>
      </c>
      <c r="DY166" s="111">
        <f t="shared" ref="DY166:DZ166" si="391">sum(BS166,BY166,CE166,CK166,CQ166,CW166,DC166,DI166,DO166)</f>
        <v>0</v>
      </c>
      <c r="DZ166" s="111">
        <f t="shared" si="391"/>
        <v>0</v>
      </c>
      <c r="EA166" s="110">
        <f t="shared" si="15"/>
        <v>45</v>
      </c>
      <c r="EB166" s="99" t="str">
        <f t="shared" si="16"/>
        <v>35 - 54</v>
      </c>
      <c r="EC166" s="112"/>
      <c r="ED166" s="113">
        <f t="shared" si="17"/>
        <v>4.2</v>
      </c>
      <c r="EE166" s="114" t="str">
        <f>IF(V166 &lt;&gt; "", 1+((V166-MIN(discount_rates))*(4)/(MAX(discount_rates) - MIN(discount_rates))), "")</f>
        <v/>
      </c>
      <c r="EF166" s="114" t="str">
        <f>IF(Q166="Debt", (1+((S166-MIN(interest_rates))*(4)/(MAX(interest_rates) - MIN(interest_rates)))), "")</f>
        <v/>
      </c>
      <c r="EG166" s="114" t="str">
        <f>IF(OR(Q166="Revenue Share", Q166="Profit Share"), (1+((R166-MIN(return_mutiples))*(4)/(MAX(return_mutiples) - MIN(return_mutiples)))), "")</f>
        <v/>
      </c>
      <c r="EH166" s="115">
        <f t="shared" si="18"/>
        <v>4.2</v>
      </c>
      <c r="EI166" s="116" t="str">
        <f t="shared" si="19"/>
        <v>Equity - Common</v>
      </c>
      <c r="EJ166" s="117">
        <f t="shared" si="20"/>
        <v>0.3287671233</v>
      </c>
      <c r="EK166" s="116" t="str">
        <f t="shared" si="21"/>
        <v>Early</v>
      </c>
      <c r="EL166" s="112"/>
      <c r="EM166" s="118">
        <f t="shared" si="22"/>
        <v>3.6</v>
      </c>
      <c r="EN166" s="118">
        <f t="shared" si="23"/>
        <v>1.7</v>
      </c>
      <c r="EO166" s="119">
        <f t="shared" si="24"/>
        <v>5.3</v>
      </c>
      <c r="EP166" s="115">
        <f>1+((EO166-MIN(market_ratings_sums))*(4)/(MAX(market_ratings_sums) - MIN(market_ratings_sums)))</f>
        <v>2.824561404</v>
      </c>
      <c r="EQ166" s="116" t="str">
        <f t="shared" si="25"/>
        <v>No</v>
      </c>
      <c r="ER166" s="112"/>
      <c r="ES166" s="123">
        <f>1+((DX166-MIN(industry_experiences))*(4)/(MAX(industry_experiences) - MIN(industry_experiences)))</f>
        <v>1</v>
      </c>
      <c r="ET166" s="123">
        <f>1+((DY166-MIN(previous_startups))*(4)/(MAX(previous_startups) - MIN(previous_startups)))</f>
        <v>1</v>
      </c>
      <c r="EU166" s="123">
        <f>1+((DZ166-MIN(exits))*(4)/(MAX(exits) - MIN(exits)))</f>
        <v>1</v>
      </c>
      <c r="EV166" s="119">
        <f t="shared" si="26"/>
        <v>3</v>
      </c>
      <c r="EW166" s="124">
        <f>1+((EV166-MIN(team_ratings_sums))*(4)/(MAX(team_ratings_sums) - MIN(team_ratings_sums)))</f>
        <v>1</v>
      </c>
      <c r="EX166" s="116" t="str">
        <f t="shared" si="27"/>
        <v>35 - 54</v>
      </c>
      <c r="EY166" s="125">
        <f t="shared" si="28"/>
        <v>0.6849315068</v>
      </c>
      <c r="EZ166" s="116">
        <f t="shared" si="29"/>
        <v>1</v>
      </c>
      <c r="FA166" s="125">
        <f t="shared" si="30"/>
        <v>0.4383561644</v>
      </c>
      <c r="FB166" s="116">
        <f t="shared" si="31"/>
        <v>2</v>
      </c>
      <c r="FC166" s="125">
        <f t="shared" si="32"/>
        <v>0.1369863014</v>
      </c>
      <c r="FD166" s="116" t="str">
        <f t="shared" si="33"/>
        <v>No</v>
      </c>
      <c r="FE166" s="125">
        <f t="shared" si="34"/>
        <v>0.7534246575</v>
      </c>
      <c r="FF166" s="116" t="str">
        <f t="shared" ref="FF166:FH166" si="392">BJ166</f>
        <v>No</v>
      </c>
      <c r="FG166" s="116" t="str">
        <f t="shared" si="392"/>
        <v>No</v>
      </c>
      <c r="FH166" s="116" t="str">
        <f t="shared" si="392"/>
        <v>No</v>
      </c>
      <c r="FI166" s="112"/>
      <c r="FJ166" s="116" t="str">
        <f t="shared" si="36"/>
        <v>Transactional</v>
      </c>
      <c r="FK166" s="125">
        <f t="shared" si="37"/>
        <v>0.602739726</v>
      </c>
      <c r="FL166" s="116" t="str">
        <f t="shared" si="38"/>
        <v>B2B/B2C</v>
      </c>
      <c r="FM166" s="125">
        <f t="shared" si="39"/>
        <v>0.3287671233</v>
      </c>
      <c r="FN166" s="116" t="str">
        <f t="shared" si="40"/>
        <v>Low</v>
      </c>
      <c r="FO166" s="125">
        <f t="shared" si="41"/>
        <v>0.4383561644</v>
      </c>
      <c r="FP166" s="116" t="str">
        <f t="shared" si="42"/>
        <v>Low</v>
      </c>
      <c r="FQ166" s="125">
        <f t="shared" si="43"/>
        <v>0.3561643836</v>
      </c>
      <c r="FR166" s="112"/>
      <c r="FS166" s="123">
        <f t="shared" si="44"/>
        <v>1</v>
      </c>
      <c r="FT166" s="123">
        <f t="shared" si="45"/>
        <v>1</v>
      </c>
      <c r="FU166" s="123">
        <f t="shared" si="46"/>
        <v>5</v>
      </c>
      <c r="FV166" s="123">
        <f t="shared" si="47"/>
        <v>4.1</v>
      </c>
      <c r="FW166" s="119">
        <f t="shared" si="48"/>
        <v>11.1</v>
      </c>
      <c r="FX166" s="115">
        <f>1+((FW166-MIN(performance_ratings_sums))*(4)/(MAX(performance_ratings_sums) - MIN(performance_ratings_sums)))</f>
        <v>2.644859813</v>
      </c>
      <c r="FY166" s="116" t="str">
        <f t="shared" si="49"/>
        <v>Pre-Revenue</v>
      </c>
      <c r="FZ166" s="126">
        <f t="shared" si="50"/>
        <v>0.2054794521</v>
      </c>
      <c r="GA166" s="112"/>
      <c r="GB166" s="127">
        <f t="shared" si="51"/>
        <v>1</v>
      </c>
      <c r="GC166" s="116" t="str">
        <f t="shared" si="52"/>
        <v>No</v>
      </c>
      <c r="GD166" s="126">
        <f t="shared" si="53"/>
        <v>0.7671232877</v>
      </c>
      <c r="GE166" s="126" t="str">
        <f t="shared" si="54"/>
        <v/>
      </c>
      <c r="GF166" s="126">
        <f t="shared" si="55"/>
        <v>0</v>
      </c>
      <c r="GG166" s="126" t="str">
        <f t="shared" si="56"/>
        <v/>
      </c>
      <c r="GH166" s="126">
        <f t="shared" si="57"/>
        <v>0</v>
      </c>
      <c r="GI166" s="112"/>
      <c r="GJ166" s="116"/>
      <c r="GK166" s="119">
        <f t="shared" si="58"/>
        <v>11.66942122</v>
      </c>
      <c r="GL166" s="128">
        <f>1+((GK166-MIN(ratings_sums))*(4)/(MAX(ratings_sums) - MIN(ratings_sums)))</f>
        <v>2.373241027</v>
      </c>
    </row>
    <row r="167" ht="15.75" customHeight="1">
      <c r="A167" s="161" t="s">
        <v>1128</v>
      </c>
      <c r="B167" s="15">
        <v>1785581.0</v>
      </c>
      <c r="C167" s="162" t="s">
        <v>1252</v>
      </c>
      <c r="D167" s="163">
        <v>43754.42083333333</v>
      </c>
      <c r="E167" s="15" t="s">
        <v>381</v>
      </c>
      <c r="F167" s="164" t="s">
        <v>1253</v>
      </c>
      <c r="G167" s="164" t="s">
        <v>1254</v>
      </c>
      <c r="H167" s="173">
        <v>43840.0</v>
      </c>
      <c r="I167" s="162" t="s">
        <v>1255</v>
      </c>
      <c r="J167" s="162" t="s">
        <v>1252</v>
      </c>
      <c r="K167" s="15" t="s">
        <v>449</v>
      </c>
      <c r="L167" s="15" t="s">
        <v>264</v>
      </c>
      <c r="M167" s="15" t="s">
        <v>81</v>
      </c>
      <c r="N167" s="15" t="s">
        <v>101</v>
      </c>
      <c r="O167" s="15" t="s">
        <v>35</v>
      </c>
      <c r="Q167" s="15" t="s">
        <v>121</v>
      </c>
      <c r="R167" s="166"/>
      <c r="S167" s="120"/>
      <c r="T167" s="69">
        <v>1.4029817E7</v>
      </c>
      <c r="U167" s="69"/>
      <c r="V167" s="132"/>
      <c r="W167" s="96" t="str">
        <f t="shared" si="125"/>
        <v/>
      </c>
      <c r="X167" s="98">
        <f t="shared" si="126"/>
        <v>14029817</v>
      </c>
      <c r="Y167" s="99" t="str">
        <f t="shared" si="127"/>
        <v>$14M - $16M</v>
      </c>
      <c r="Z167" s="15" t="s">
        <v>36</v>
      </c>
      <c r="AA167" s="15" t="s">
        <v>123</v>
      </c>
      <c r="AB167" s="15" t="s">
        <v>38</v>
      </c>
      <c r="AC167" s="15" t="s">
        <v>493</v>
      </c>
      <c r="AD167" s="15" t="s">
        <v>89</v>
      </c>
      <c r="AE167" s="15" t="s">
        <v>89</v>
      </c>
      <c r="AF167" s="15" t="s">
        <v>469</v>
      </c>
      <c r="AG167" s="69">
        <v>4.646E10</v>
      </c>
      <c r="AH167" s="97" t="str">
        <f t="shared" si="128"/>
        <v>$25B-$50B</v>
      </c>
      <c r="AI167" s="69">
        <v>4.646E10</v>
      </c>
      <c r="AJ167" s="97" t="str">
        <f t="shared" si="129"/>
        <v>$25B-$50B</v>
      </c>
      <c r="AK167" s="167">
        <v>0.08</v>
      </c>
      <c r="AL167" s="88" t="str">
        <f t="shared" si="130"/>
        <v>0%-10%</v>
      </c>
      <c r="AM167" s="32">
        <v>6.0</v>
      </c>
      <c r="AN167" s="15" t="s">
        <v>39</v>
      </c>
      <c r="AO167" s="15" t="s">
        <v>89</v>
      </c>
      <c r="AP167" s="15" t="s">
        <v>90</v>
      </c>
      <c r="AQ167" s="168"/>
      <c r="AR167" s="168"/>
      <c r="AS167" s="15" t="s">
        <v>493</v>
      </c>
      <c r="AT167" s="15" t="s">
        <v>493</v>
      </c>
      <c r="AU167" s="15" t="s">
        <v>493</v>
      </c>
      <c r="AV167" s="15" t="s">
        <v>493</v>
      </c>
      <c r="AW167" s="69">
        <v>1565135.0</v>
      </c>
      <c r="AX167" s="96" t="str">
        <f t="shared" si="131"/>
        <v>$1M - $2M</v>
      </c>
      <c r="AY167" s="69">
        <v>34126.0</v>
      </c>
      <c r="AZ167" s="69">
        <v>565000.0</v>
      </c>
      <c r="BA167" s="103" t="str">
        <f t="shared" si="132"/>
        <v>$500K - $1M</v>
      </c>
      <c r="BB167" s="103">
        <f t="shared" si="133"/>
        <v>0.0604</v>
      </c>
      <c r="BC167" s="103" t="str">
        <f t="shared" si="134"/>
        <v>&lt; 10%</v>
      </c>
      <c r="BD167" s="15" t="s">
        <v>107</v>
      </c>
      <c r="BF167" s="15" t="s">
        <v>493</v>
      </c>
      <c r="BG167" s="15">
        <v>7.0</v>
      </c>
      <c r="BH167" s="15">
        <v>1.0</v>
      </c>
      <c r="BI167" s="15" t="s">
        <v>493</v>
      </c>
      <c r="BJ167" s="15" t="s">
        <v>469</v>
      </c>
      <c r="BK167" s="15" t="s">
        <v>469</v>
      </c>
      <c r="BL167" s="15" t="s">
        <v>469</v>
      </c>
      <c r="BM167" s="15">
        <v>2.0</v>
      </c>
      <c r="BN167" s="15">
        <v>11.0</v>
      </c>
      <c r="BO167" s="15">
        <v>1.0</v>
      </c>
      <c r="BP167" s="15">
        <v>0.0</v>
      </c>
      <c r="BQ167" s="108"/>
      <c r="BR167" s="15">
        <v>13.0</v>
      </c>
      <c r="BS167" s="15">
        <v>1.0</v>
      </c>
      <c r="BT167" s="15">
        <v>1.0</v>
      </c>
      <c r="BU167" s="15">
        <v>42.0</v>
      </c>
      <c r="BV167" s="15" t="s">
        <v>469</v>
      </c>
      <c r="BW167" s="108"/>
      <c r="CC167" s="108"/>
      <c r="CI167" s="108"/>
      <c r="CO167" s="108"/>
      <c r="CU167" s="108"/>
      <c r="DA167" s="108"/>
      <c r="DG167" s="108"/>
      <c r="DM167" s="108"/>
      <c r="DS167" s="108"/>
      <c r="DT167" s="108"/>
      <c r="DU167" s="108"/>
      <c r="DW167" s="109"/>
      <c r="DX167" s="110">
        <f t="shared" si="13"/>
        <v>13</v>
      </c>
      <c r="DY167" s="111">
        <f t="shared" ref="DY167:DZ167" si="393">sum(BS167,BY167,CE167,CK167,CQ167,CW167,DC167,DI167,DO167)</f>
        <v>1</v>
      </c>
      <c r="DZ167" s="111">
        <f t="shared" si="393"/>
        <v>1</v>
      </c>
      <c r="EA167" s="110">
        <f t="shared" si="15"/>
        <v>42</v>
      </c>
      <c r="EB167" s="99" t="str">
        <f t="shared" si="16"/>
        <v>35 - 54</v>
      </c>
      <c r="EC167" s="112"/>
      <c r="ED167" s="113">
        <f t="shared" si="17"/>
        <v>3.5</v>
      </c>
      <c r="EE167" s="114" t="str">
        <f>IF(V167 &lt;&gt; "", 1+((V167-MIN(discount_rates))*(4)/(MAX(discount_rates) - MIN(discount_rates))), "")</f>
        <v/>
      </c>
      <c r="EF167" s="114" t="str">
        <f>IF(Q167="Debt", (1+((S167-MIN(interest_rates))*(4)/(MAX(interest_rates) - MIN(interest_rates)))), "")</f>
        <v/>
      </c>
      <c r="EG167" s="114" t="str">
        <f>IF(OR(Q167="Revenue Share", Q167="Profit Share"), (1+((R167-MIN(return_mutiples))*(4)/(MAX(return_mutiples) - MIN(return_mutiples)))), "")</f>
        <v/>
      </c>
      <c r="EH167" s="115">
        <f t="shared" si="18"/>
        <v>3.5</v>
      </c>
      <c r="EI167" s="116" t="str">
        <f t="shared" si="19"/>
        <v>Equity - Common</v>
      </c>
      <c r="EJ167" s="117">
        <f t="shared" si="20"/>
        <v>0.3287671233</v>
      </c>
      <c r="EK167" s="116" t="str">
        <f t="shared" si="21"/>
        <v>Growth</v>
      </c>
      <c r="EL167" s="112"/>
      <c r="EM167" s="118">
        <f t="shared" si="22"/>
        <v>3.6</v>
      </c>
      <c r="EN167" s="118">
        <f t="shared" si="23"/>
        <v>1.7</v>
      </c>
      <c r="EO167" s="119">
        <f t="shared" si="24"/>
        <v>5.3</v>
      </c>
      <c r="EP167" s="115">
        <f>1+((EO167-MIN(market_ratings_sums))*(4)/(MAX(market_ratings_sums) - MIN(market_ratings_sums)))</f>
        <v>2.824561404</v>
      </c>
      <c r="EQ167" s="116" t="str">
        <f t="shared" si="25"/>
        <v>Yes</v>
      </c>
      <c r="ER167" s="112"/>
      <c r="ES167" s="123">
        <f>1+((DX167-MIN(industry_experiences))*(4)/(MAX(industry_experiences) - MIN(industry_experiences)))</f>
        <v>2.238095238</v>
      </c>
      <c r="ET167" s="123">
        <f>1+((DY167-MIN(previous_startups))*(4)/(MAX(previous_startups) - MIN(previous_startups)))</f>
        <v>1.444444444</v>
      </c>
      <c r="EU167" s="123">
        <f>1+((DZ167-MIN(exits))*(4)/(MAX(exits) - MIN(exits)))</f>
        <v>2</v>
      </c>
      <c r="EV167" s="119">
        <f t="shared" si="26"/>
        <v>5.682539683</v>
      </c>
      <c r="EW167" s="124">
        <f>1+((EV167-MIN(team_ratings_sums))*(4)/(MAX(team_ratings_sums) - MIN(team_ratings_sums)))</f>
        <v>2.469565217</v>
      </c>
      <c r="EX167" s="116" t="str">
        <f t="shared" si="27"/>
        <v>35 - 54</v>
      </c>
      <c r="EY167" s="125">
        <f t="shared" si="28"/>
        <v>0.6849315068</v>
      </c>
      <c r="EZ167" s="116">
        <f t="shared" si="29"/>
        <v>1</v>
      </c>
      <c r="FA167" s="125">
        <f t="shared" si="30"/>
        <v>0.4383561644</v>
      </c>
      <c r="FB167" s="116">
        <f t="shared" si="31"/>
        <v>11</v>
      </c>
      <c r="FC167" s="125">
        <f t="shared" si="32"/>
        <v>0.02739726027</v>
      </c>
      <c r="FD167" s="116" t="str">
        <f t="shared" si="33"/>
        <v>Yes</v>
      </c>
      <c r="FE167" s="125">
        <f t="shared" si="34"/>
        <v>0.2465753425</v>
      </c>
      <c r="FF167" s="116" t="str">
        <f t="shared" ref="FF167:FH167" si="394">BJ167</f>
        <v>No</v>
      </c>
      <c r="FG167" s="116" t="str">
        <f t="shared" si="394"/>
        <v>No</v>
      </c>
      <c r="FH167" s="116" t="str">
        <f t="shared" si="394"/>
        <v>No</v>
      </c>
      <c r="FI167" s="112"/>
      <c r="FJ167" s="116" t="str">
        <f t="shared" si="36"/>
        <v>Transactional</v>
      </c>
      <c r="FK167" s="125">
        <f t="shared" si="37"/>
        <v>0.602739726</v>
      </c>
      <c r="FL167" s="116" t="str">
        <f t="shared" si="38"/>
        <v>B2B/B2C</v>
      </c>
      <c r="FM167" s="125">
        <f t="shared" si="39"/>
        <v>0.3287671233</v>
      </c>
      <c r="FN167" s="116" t="str">
        <f t="shared" si="40"/>
        <v>Low</v>
      </c>
      <c r="FO167" s="125">
        <f t="shared" si="41"/>
        <v>0.4383561644</v>
      </c>
      <c r="FP167" s="116" t="str">
        <f t="shared" si="42"/>
        <v>Low</v>
      </c>
      <c r="FQ167" s="125">
        <f t="shared" si="43"/>
        <v>0.3561643836</v>
      </c>
      <c r="FR167" s="112"/>
      <c r="FS167" s="123">
        <f t="shared" si="44"/>
        <v>5</v>
      </c>
      <c r="FT167" s="123">
        <f t="shared" si="45"/>
        <v>3.2</v>
      </c>
      <c r="FU167" s="123">
        <f t="shared" si="46"/>
        <v>5</v>
      </c>
      <c r="FV167" s="123">
        <f t="shared" si="47"/>
        <v>3.2</v>
      </c>
      <c r="FW167" s="119">
        <f t="shared" si="48"/>
        <v>16.4</v>
      </c>
      <c r="FX167" s="115">
        <f>1+((FW167-MIN(performance_ratings_sums))*(4)/(MAX(performance_ratings_sums) - MIN(performance_ratings_sums)))</f>
        <v>4.626168224</v>
      </c>
      <c r="FY167" s="116" t="str">
        <f t="shared" si="49"/>
        <v>Pre-Profit</v>
      </c>
      <c r="FZ167" s="126">
        <f t="shared" si="50"/>
        <v>0.4931506849</v>
      </c>
      <c r="GA167" s="112"/>
      <c r="GB167" s="127">
        <f t="shared" si="51"/>
        <v>3</v>
      </c>
      <c r="GC167" s="116" t="str">
        <f t="shared" si="52"/>
        <v>Yes</v>
      </c>
      <c r="GD167" s="126">
        <f t="shared" si="53"/>
        <v>0.2328767123</v>
      </c>
      <c r="GE167" s="126" t="str">
        <f t="shared" si="54"/>
        <v/>
      </c>
      <c r="GF167" s="126">
        <f t="shared" si="55"/>
        <v>0</v>
      </c>
      <c r="GG167" s="126" t="str">
        <f t="shared" si="56"/>
        <v/>
      </c>
      <c r="GH167" s="126">
        <f t="shared" si="57"/>
        <v>0</v>
      </c>
      <c r="GI167" s="112"/>
      <c r="GJ167" s="116"/>
      <c r="GK167" s="119">
        <f t="shared" si="58"/>
        <v>16.42029485</v>
      </c>
      <c r="GL167" s="128">
        <f>1+((GK167-MIN(ratings_sums))*(4)/(MAX(ratings_sums) - MIN(ratings_sums)))</f>
        <v>3.830998937</v>
      </c>
    </row>
    <row r="168" ht="15.75" customHeight="1">
      <c r="A168" s="161" t="s">
        <v>1128</v>
      </c>
      <c r="B168" s="15">
        <v>1788657.0</v>
      </c>
      <c r="C168" s="162" t="s">
        <v>1256</v>
      </c>
      <c r="D168" s="163">
        <v>43755.40555555555</v>
      </c>
      <c r="E168" s="15" t="s">
        <v>386</v>
      </c>
      <c r="F168" s="164" t="s">
        <v>1257</v>
      </c>
      <c r="G168" s="164" t="s">
        <v>1258</v>
      </c>
      <c r="H168" s="173">
        <v>43846.0</v>
      </c>
      <c r="I168" s="162" t="s">
        <v>1259</v>
      </c>
      <c r="J168" s="162" t="s">
        <v>1256</v>
      </c>
      <c r="K168" s="15" t="s">
        <v>438</v>
      </c>
      <c r="L168" s="15" t="s">
        <v>355</v>
      </c>
      <c r="M168" s="15" t="s">
        <v>31</v>
      </c>
      <c r="N168" s="15" t="s">
        <v>82</v>
      </c>
      <c r="O168" s="15" t="s">
        <v>35</v>
      </c>
      <c r="Q168" s="15" t="s">
        <v>121</v>
      </c>
      <c r="R168" s="166"/>
      <c r="S168" s="120"/>
      <c r="T168" s="69">
        <v>2400000.0</v>
      </c>
      <c r="U168" s="69"/>
      <c r="V168" s="132"/>
      <c r="W168" s="96" t="str">
        <f t="shared" si="125"/>
        <v/>
      </c>
      <c r="X168" s="98">
        <f t="shared" si="126"/>
        <v>2400000</v>
      </c>
      <c r="Y168" s="99" t="str">
        <f t="shared" si="127"/>
        <v>$2M - $4M</v>
      </c>
      <c r="Z168" s="15" t="s">
        <v>86</v>
      </c>
      <c r="AA168" s="15" t="s">
        <v>87</v>
      </c>
      <c r="AB168" s="15" t="s">
        <v>88</v>
      </c>
      <c r="AC168" s="15" t="s">
        <v>493</v>
      </c>
      <c r="AD168" s="15" t="s">
        <v>39</v>
      </c>
      <c r="AE168" s="15" t="s">
        <v>89</v>
      </c>
      <c r="AF168" s="15" t="s">
        <v>469</v>
      </c>
      <c r="AG168" s="69">
        <v>5.7E9</v>
      </c>
      <c r="AH168" s="97" t="str">
        <f t="shared" si="128"/>
        <v>$5B-$10B</v>
      </c>
      <c r="AI168" s="69">
        <v>5.7E9</v>
      </c>
      <c r="AJ168" s="97" t="str">
        <f t="shared" si="129"/>
        <v>$5B-$10B</v>
      </c>
      <c r="AK168" s="167">
        <v>0.15</v>
      </c>
      <c r="AL168" s="88" t="str">
        <f t="shared" si="130"/>
        <v>10%-20%</v>
      </c>
      <c r="AM168" s="15">
        <v>37.0</v>
      </c>
      <c r="AN168" s="15" t="s">
        <v>39</v>
      </c>
      <c r="AO168" s="15" t="s">
        <v>89</v>
      </c>
      <c r="AP168" s="15" t="s">
        <v>106</v>
      </c>
      <c r="AQ168" s="168"/>
      <c r="AR168" s="168"/>
      <c r="AS168" s="15" t="s">
        <v>469</v>
      </c>
      <c r="AT168" s="15" t="s">
        <v>469</v>
      </c>
      <c r="AU168" s="15" t="s">
        <v>493</v>
      </c>
      <c r="AV168" s="15" t="s">
        <v>493</v>
      </c>
      <c r="AW168" s="69">
        <v>635.0</v>
      </c>
      <c r="AX168" s="96" t="str">
        <f t="shared" si="131"/>
        <v>&lt; $10K</v>
      </c>
      <c r="AY168" s="69">
        <v>407.0</v>
      </c>
      <c r="AZ168" s="69">
        <v>10613.0</v>
      </c>
      <c r="BA168" s="103" t="str">
        <f t="shared" si="132"/>
        <v>$10K - $50K</v>
      </c>
      <c r="BB168" s="103">
        <f t="shared" si="133"/>
        <v>0.03834919438</v>
      </c>
      <c r="BC168" s="103" t="str">
        <f t="shared" si="134"/>
        <v>&lt; 10%</v>
      </c>
      <c r="BD168" s="15" t="s">
        <v>107</v>
      </c>
      <c r="BF168" s="15" t="s">
        <v>469</v>
      </c>
      <c r="BG168" s="15">
        <v>0.0</v>
      </c>
      <c r="BH168" s="15">
        <v>2.0</v>
      </c>
      <c r="BI168" s="15" t="s">
        <v>493</v>
      </c>
      <c r="BJ168" s="15" t="s">
        <v>469</v>
      </c>
      <c r="BK168" s="15" t="s">
        <v>469</v>
      </c>
      <c r="BL168" s="15" t="s">
        <v>469</v>
      </c>
      <c r="BM168" s="15">
        <v>3.0</v>
      </c>
      <c r="BN168" s="15">
        <v>1.0</v>
      </c>
      <c r="BO168" s="15">
        <v>4.0</v>
      </c>
      <c r="BP168" s="15">
        <v>0.0</v>
      </c>
      <c r="BQ168" s="108"/>
      <c r="BR168" s="15">
        <v>6.0</v>
      </c>
      <c r="BS168" s="15">
        <v>0.0</v>
      </c>
      <c r="BT168" s="15">
        <v>0.0</v>
      </c>
      <c r="BU168" s="15">
        <v>34.0</v>
      </c>
      <c r="BV168" s="15" t="s">
        <v>469</v>
      </c>
      <c r="BW168" s="108"/>
      <c r="BX168" s="15">
        <v>0.0</v>
      </c>
      <c r="BY168" s="15">
        <v>3.0</v>
      </c>
      <c r="BZ168" s="15">
        <v>2.0</v>
      </c>
      <c r="CA168" s="15">
        <v>67.0</v>
      </c>
      <c r="CB168" s="15" t="s">
        <v>469</v>
      </c>
      <c r="CC168" s="108"/>
      <c r="CI168" s="108"/>
      <c r="CO168" s="108"/>
      <c r="CU168" s="108"/>
      <c r="DA168" s="108"/>
      <c r="DG168" s="108"/>
      <c r="DM168" s="108"/>
      <c r="DS168" s="108"/>
      <c r="DT168" s="108"/>
      <c r="DU168" s="108"/>
      <c r="DW168" s="109"/>
      <c r="DX168" s="110">
        <f t="shared" si="13"/>
        <v>3</v>
      </c>
      <c r="DY168" s="111">
        <f t="shared" ref="DY168:DZ168" si="395">sum(BS168,BY168,CE168,CK168,CQ168,CW168,DC168,DI168,DO168)</f>
        <v>3</v>
      </c>
      <c r="DZ168" s="111">
        <f t="shared" si="395"/>
        <v>2</v>
      </c>
      <c r="EA168" s="110">
        <f t="shared" si="15"/>
        <v>50.5</v>
      </c>
      <c r="EB168" s="99" t="str">
        <f t="shared" si="16"/>
        <v>35 - 54</v>
      </c>
      <c r="EC168" s="112"/>
      <c r="ED168" s="113">
        <f t="shared" si="17"/>
        <v>4.6</v>
      </c>
      <c r="EE168" s="114" t="str">
        <f>IF(V168 &lt;&gt; "", 1+((V168-MIN(discount_rates))*(4)/(MAX(discount_rates) - MIN(discount_rates))), "")</f>
        <v/>
      </c>
      <c r="EF168" s="114" t="str">
        <f>IF(Q168="Debt", (1+((S168-MIN(interest_rates))*(4)/(MAX(interest_rates) - MIN(interest_rates)))), "")</f>
        <v/>
      </c>
      <c r="EG168" s="114" t="str">
        <f>IF(OR(Q168="Revenue Share", Q168="Profit Share"), (1+((R168-MIN(return_mutiples))*(4)/(MAX(return_mutiples) - MIN(return_mutiples)))), "")</f>
        <v/>
      </c>
      <c r="EH168" s="115">
        <f t="shared" si="18"/>
        <v>4.6</v>
      </c>
      <c r="EI168" s="116" t="str">
        <f t="shared" si="19"/>
        <v>Equity - Common</v>
      </c>
      <c r="EJ168" s="117">
        <f t="shared" si="20"/>
        <v>0.3287671233</v>
      </c>
      <c r="EK168" s="116" t="str">
        <f t="shared" si="21"/>
        <v>Early</v>
      </c>
      <c r="EL168" s="112"/>
      <c r="EM168" s="118">
        <f t="shared" si="22"/>
        <v>3</v>
      </c>
      <c r="EN168" s="118">
        <f t="shared" si="23"/>
        <v>2.3</v>
      </c>
      <c r="EO168" s="119">
        <f t="shared" si="24"/>
        <v>5.3</v>
      </c>
      <c r="EP168" s="115">
        <f>1+((EO168-MIN(market_ratings_sums))*(4)/(MAX(market_ratings_sums) - MIN(market_ratings_sums)))</f>
        <v>2.824561404</v>
      </c>
      <c r="EQ168" s="116" t="str">
        <f t="shared" si="25"/>
        <v>No</v>
      </c>
      <c r="ER168" s="112"/>
      <c r="ES168" s="123">
        <f>1+((DX168-MIN(industry_experiences))*(4)/(MAX(industry_experiences) - MIN(industry_experiences)))</f>
        <v>1.285714286</v>
      </c>
      <c r="ET168" s="123">
        <f>1+((DY168-MIN(previous_startups))*(4)/(MAX(previous_startups) - MIN(previous_startups)))</f>
        <v>2.333333333</v>
      </c>
      <c r="EU168" s="123">
        <f>1+((DZ168-MIN(exits))*(4)/(MAX(exits) - MIN(exits)))</f>
        <v>3</v>
      </c>
      <c r="EV168" s="119">
        <f t="shared" si="26"/>
        <v>6.619047619</v>
      </c>
      <c r="EW168" s="124">
        <f>1+((EV168-MIN(team_ratings_sums))*(4)/(MAX(team_ratings_sums) - MIN(team_ratings_sums)))</f>
        <v>2.982608696</v>
      </c>
      <c r="EX168" s="116" t="str">
        <f t="shared" si="27"/>
        <v>35 - 54</v>
      </c>
      <c r="EY168" s="125">
        <f t="shared" si="28"/>
        <v>0.6849315068</v>
      </c>
      <c r="EZ168" s="116">
        <f t="shared" si="29"/>
        <v>2</v>
      </c>
      <c r="FA168" s="125">
        <f t="shared" si="30"/>
        <v>0.4520547945</v>
      </c>
      <c r="FB168" s="116">
        <f t="shared" si="31"/>
        <v>1</v>
      </c>
      <c r="FC168" s="125">
        <f t="shared" si="32"/>
        <v>0.08219178082</v>
      </c>
      <c r="FD168" s="116" t="str">
        <f t="shared" si="33"/>
        <v>Yes</v>
      </c>
      <c r="FE168" s="125">
        <f t="shared" si="34"/>
        <v>0.2465753425</v>
      </c>
      <c r="FF168" s="116" t="str">
        <f t="shared" ref="FF168:FH168" si="396">BJ168</f>
        <v>No</v>
      </c>
      <c r="FG168" s="116" t="str">
        <f t="shared" si="396"/>
        <v>No</v>
      </c>
      <c r="FH168" s="116" t="str">
        <f t="shared" si="396"/>
        <v>No</v>
      </c>
      <c r="FI168" s="112"/>
      <c r="FJ168" s="116" t="str">
        <f t="shared" si="36"/>
        <v>Recurring</v>
      </c>
      <c r="FK168" s="125">
        <f t="shared" si="37"/>
        <v>0.397260274</v>
      </c>
      <c r="FL168" s="116" t="str">
        <f t="shared" si="38"/>
        <v>B2C</v>
      </c>
      <c r="FM168" s="125">
        <f t="shared" si="39"/>
        <v>0.397260274</v>
      </c>
      <c r="FN168" s="116" t="str">
        <f t="shared" si="40"/>
        <v>High</v>
      </c>
      <c r="FO168" s="125">
        <f t="shared" si="41"/>
        <v>0.5616438356</v>
      </c>
      <c r="FP168" s="116" t="str">
        <f t="shared" si="42"/>
        <v>Low</v>
      </c>
      <c r="FQ168" s="125">
        <f t="shared" si="43"/>
        <v>0.3561643836</v>
      </c>
      <c r="FR168" s="112"/>
      <c r="FS168" s="123">
        <f t="shared" si="44"/>
        <v>5</v>
      </c>
      <c r="FT168" s="123">
        <f t="shared" si="45"/>
        <v>1</v>
      </c>
      <c r="FU168" s="123">
        <f t="shared" si="46"/>
        <v>5</v>
      </c>
      <c r="FV168" s="123">
        <f t="shared" si="47"/>
        <v>4.6</v>
      </c>
      <c r="FW168" s="119">
        <f t="shared" si="48"/>
        <v>15.6</v>
      </c>
      <c r="FX168" s="115">
        <f>1+((FW168-MIN(performance_ratings_sums))*(4)/(MAX(performance_ratings_sums) - MIN(performance_ratings_sums)))</f>
        <v>4.327102804</v>
      </c>
      <c r="FY168" s="116" t="str">
        <f t="shared" si="49"/>
        <v>Pre-Profit</v>
      </c>
      <c r="FZ168" s="126">
        <f t="shared" si="50"/>
        <v>0.4931506849</v>
      </c>
      <c r="GA168" s="112"/>
      <c r="GB168" s="127">
        <f t="shared" si="51"/>
        <v>3</v>
      </c>
      <c r="GC168" s="116" t="str">
        <f t="shared" si="52"/>
        <v>No</v>
      </c>
      <c r="GD168" s="126">
        <f t="shared" si="53"/>
        <v>0.7671232877</v>
      </c>
      <c r="GE168" s="126" t="str">
        <f t="shared" si="54"/>
        <v/>
      </c>
      <c r="GF168" s="126">
        <f t="shared" si="55"/>
        <v>0</v>
      </c>
      <c r="GG168" s="126" t="str">
        <f t="shared" si="56"/>
        <v/>
      </c>
      <c r="GH168" s="126">
        <f t="shared" si="57"/>
        <v>0</v>
      </c>
      <c r="GI168" s="112"/>
      <c r="GJ168" s="116"/>
      <c r="GK168" s="119">
        <f t="shared" si="58"/>
        <v>17.7342729</v>
      </c>
      <c r="GL168" s="128">
        <f>1+((GK168-MIN(ratings_sums))*(4)/(MAX(ratings_sums) - MIN(ratings_sums)))</f>
        <v>4.234179921</v>
      </c>
    </row>
    <row r="169" ht="15.75" customHeight="1">
      <c r="A169" s="161" t="s">
        <v>1128</v>
      </c>
      <c r="B169" s="15">
        <v>1789864.0</v>
      </c>
      <c r="C169" s="162" t="s">
        <v>1260</v>
      </c>
      <c r="D169" s="163">
        <v>43759.48819444444</v>
      </c>
      <c r="E169" s="15" t="s">
        <v>343</v>
      </c>
      <c r="F169" s="164" t="s">
        <v>1261</v>
      </c>
      <c r="G169" s="164" t="s">
        <v>1262</v>
      </c>
      <c r="H169" s="173">
        <v>43805.0</v>
      </c>
      <c r="I169" s="162" t="s">
        <v>1263</v>
      </c>
      <c r="J169" s="162" t="s">
        <v>1260</v>
      </c>
      <c r="K169" s="15" t="s">
        <v>484</v>
      </c>
      <c r="L169" s="15" t="s">
        <v>390</v>
      </c>
      <c r="M169" s="15" t="s">
        <v>81</v>
      </c>
      <c r="N169" s="15" t="s">
        <v>101</v>
      </c>
      <c r="O169" s="15" t="s">
        <v>35</v>
      </c>
      <c r="Q169" s="15" t="s">
        <v>121</v>
      </c>
      <c r="R169" s="166"/>
      <c r="S169" s="120"/>
      <c r="T169" s="69">
        <v>1.0E7</v>
      </c>
      <c r="U169" s="69"/>
      <c r="V169" s="132"/>
      <c r="W169" s="96" t="str">
        <f t="shared" si="125"/>
        <v/>
      </c>
      <c r="X169" s="98">
        <f t="shared" si="126"/>
        <v>10000000</v>
      </c>
      <c r="Y169" s="99" t="str">
        <f t="shared" si="127"/>
        <v>$8M - $10M</v>
      </c>
      <c r="Z169" s="15" t="s">
        <v>36</v>
      </c>
      <c r="AA169" s="15" t="s">
        <v>37</v>
      </c>
      <c r="AB169" s="15" t="s">
        <v>38</v>
      </c>
      <c r="AC169" s="15" t="s">
        <v>493</v>
      </c>
      <c r="AD169" s="15" t="s">
        <v>89</v>
      </c>
      <c r="AE169" s="15" t="s">
        <v>89</v>
      </c>
      <c r="AF169" s="15" t="s">
        <v>469</v>
      </c>
      <c r="AG169" s="69">
        <v>1.195469E12</v>
      </c>
      <c r="AH169" s="97" t="str">
        <f t="shared" si="128"/>
        <v>&gt; $1T</v>
      </c>
      <c r="AI169" s="69">
        <v>1.195469E12</v>
      </c>
      <c r="AJ169" s="97" t="str">
        <f t="shared" si="129"/>
        <v>&gt; $1T</v>
      </c>
      <c r="AK169" s="167">
        <v>0.11</v>
      </c>
      <c r="AL169" s="88" t="str">
        <f t="shared" si="130"/>
        <v>10%-20%</v>
      </c>
      <c r="AM169" s="32">
        <v>774106.0</v>
      </c>
      <c r="AN169" s="15" t="s">
        <v>89</v>
      </c>
      <c r="AO169" s="15" t="s">
        <v>89</v>
      </c>
      <c r="AP169" s="15" t="s">
        <v>40</v>
      </c>
      <c r="AQ169" s="168"/>
      <c r="AR169" s="168"/>
      <c r="AS169" s="15" t="s">
        <v>493</v>
      </c>
      <c r="AT169" s="15" t="s">
        <v>469</v>
      </c>
      <c r="AU169" s="15" t="s">
        <v>493</v>
      </c>
      <c r="AV169" s="15" t="s">
        <v>493</v>
      </c>
      <c r="AW169" s="69">
        <v>781010.0</v>
      </c>
      <c r="AX169" s="96" t="str">
        <f t="shared" si="131"/>
        <v>$500K - $1M</v>
      </c>
      <c r="AY169" s="69">
        <v>13407.0</v>
      </c>
      <c r="AZ169" s="69">
        <v>0.0</v>
      </c>
      <c r="BA169" s="103" t="str">
        <f t="shared" si="132"/>
        <v>&lt; $10K</v>
      </c>
      <c r="BB169" s="103">
        <f t="shared" si="133"/>
        <v>1</v>
      </c>
      <c r="BC169" s="103" t="str">
        <f t="shared" si="134"/>
        <v>90% - 100%</v>
      </c>
      <c r="BD169" s="15" t="s">
        <v>107</v>
      </c>
      <c r="BF169" s="15" t="s">
        <v>493</v>
      </c>
      <c r="BG169" s="15">
        <v>0.0</v>
      </c>
      <c r="BH169" s="15">
        <v>1.0</v>
      </c>
      <c r="BI169" s="15" t="s">
        <v>493</v>
      </c>
      <c r="BJ169" s="15" t="s">
        <v>493</v>
      </c>
      <c r="BK169" s="15" t="s">
        <v>469</v>
      </c>
      <c r="BL169" s="15" t="s">
        <v>469</v>
      </c>
      <c r="BM169" s="15">
        <v>0.0</v>
      </c>
      <c r="BN169" s="15">
        <v>1.0</v>
      </c>
      <c r="BO169" s="15">
        <v>0.0</v>
      </c>
      <c r="BP169" s="15">
        <v>0.0</v>
      </c>
      <c r="BQ169" s="108"/>
      <c r="BR169" s="15">
        <v>12.0</v>
      </c>
      <c r="BS169" s="15">
        <v>0.0</v>
      </c>
      <c r="BT169" s="15">
        <v>0.0</v>
      </c>
      <c r="BU169" s="15">
        <v>42.0</v>
      </c>
      <c r="BV169" s="15" t="s">
        <v>469</v>
      </c>
      <c r="BW169" s="108"/>
      <c r="CC169" s="108"/>
      <c r="CI169" s="108"/>
      <c r="CO169" s="108"/>
      <c r="CU169" s="108"/>
      <c r="DA169" s="108"/>
      <c r="DG169" s="108"/>
      <c r="DM169" s="108"/>
      <c r="DS169" s="108"/>
      <c r="DT169" s="108"/>
      <c r="DU169" s="108"/>
      <c r="DW169" s="109"/>
      <c r="DX169" s="110">
        <f t="shared" si="13"/>
        <v>12</v>
      </c>
      <c r="DY169" s="111">
        <f t="shared" ref="DY169:DZ169" si="397">sum(BS169,BY169,CE169,CK169,CQ169,CW169,DC169,DI169,DO169)</f>
        <v>0</v>
      </c>
      <c r="DZ169" s="111">
        <f t="shared" si="397"/>
        <v>0</v>
      </c>
      <c r="EA169" s="110">
        <f t="shared" si="15"/>
        <v>42</v>
      </c>
      <c r="EB169" s="99" t="str">
        <f t="shared" si="16"/>
        <v>35 - 54</v>
      </c>
      <c r="EC169" s="112"/>
      <c r="ED169" s="113">
        <f t="shared" si="17"/>
        <v>4</v>
      </c>
      <c r="EE169" s="114" t="str">
        <f>IF(V169 &lt;&gt; "", 1+((V169-MIN(discount_rates))*(4)/(MAX(discount_rates) - MIN(discount_rates))), "")</f>
        <v/>
      </c>
      <c r="EF169" s="114" t="str">
        <f>IF(Q169="Debt", (1+((S169-MIN(interest_rates))*(4)/(MAX(interest_rates) - MIN(interest_rates)))), "")</f>
        <v/>
      </c>
      <c r="EG169" s="114" t="str">
        <f>IF(OR(Q169="Revenue Share", Q169="Profit Share"), (1+((R169-MIN(return_mutiples))*(4)/(MAX(return_mutiples) - MIN(return_mutiples)))), "")</f>
        <v/>
      </c>
      <c r="EH169" s="115">
        <f t="shared" si="18"/>
        <v>4</v>
      </c>
      <c r="EI169" s="116" t="str">
        <f t="shared" si="19"/>
        <v>Equity - Common</v>
      </c>
      <c r="EJ169" s="117">
        <f t="shared" si="20"/>
        <v>0.3287671233</v>
      </c>
      <c r="EK169" s="116" t="str">
        <f t="shared" si="21"/>
        <v>Growth</v>
      </c>
      <c r="EL169" s="112"/>
      <c r="EM169" s="118">
        <f t="shared" si="22"/>
        <v>5</v>
      </c>
      <c r="EN169" s="118">
        <f t="shared" si="23"/>
        <v>2.3</v>
      </c>
      <c r="EO169" s="119">
        <f t="shared" si="24"/>
        <v>7.3</v>
      </c>
      <c r="EP169" s="115">
        <f>1+((EO169-MIN(market_ratings_sums))*(4)/(MAX(market_ratings_sums) - MIN(market_ratings_sums)))</f>
        <v>4.228070175</v>
      </c>
      <c r="EQ169" s="116" t="str">
        <f t="shared" si="25"/>
        <v>Yes</v>
      </c>
      <c r="ER169" s="112"/>
      <c r="ES169" s="123">
        <f>1+((DX169-MIN(industry_experiences))*(4)/(MAX(industry_experiences) - MIN(industry_experiences)))</f>
        <v>2.142857143</v>
      </c>
      <c r="ET169" s="123">
        <f>1+((DY169-MIN(previous_startups))*(4)/(MAX(previous_startups) - MIN(previous_startups)))</f>
        <v>1</v>
      </c>
      <c r="EU169" s="123">
        <f>1+((DZ169-MIN(exits))*(4)/(MAX(exits) - MIN(exits)))</f>
        <v>1</v>
      </c>
      <c r="EV169" s="119">
        <f t="shared" si="26"/>
        <v>4.142857143</v>
      </c>
      <c r="EW169" s="124">
        <f>1+((EV169-MIN(team_ratings_sums))*(4)/(MAX(team_ratings_sums) - MIN(team_ratings_sums)))</f>
        <v>1.626086957</v>
      </c>
      <c r="EX169" s="116" t="str">
        <f t="shared" si="27"/>
        <v>35 - 54</v>
      </c>
      <c r="EY169" s="125">
        <f t="shared" si="28"/>
        <v>0.6849315068</v>
      </c>
      <c r="EZ169" s="116">
        <f t="shared" si="29"/>
        <v>1</v>
      </c>
      <c r="FA169" s="125">
        <f t="shared" si="30"/>
        <v>0.4383561644</v>
      </c>
      <c r="FB169" s="116">
        <f t="shared" si="31"/>
        <v>1</v>
      </c>
      <c r="FC169" s="125">
        <f t="shared" si="32"/>
        <v>0.08219178082</v>
      </c>
      <c r="FD169" s="116" t="str">
        <f t="shared" si="33"/>
        <v>Yes</v>
      </c>
      <c r="FE169" s="125">
        <f t="shared" si="34"/>
        <v>0.2465753425</v>
      </c>
      <c r="FF169" s="116" t="str">
        <f t="shared" ref="FF169:FH169" si="398">BJ169</f>
        <v>Yes</v>
      </c>
      <c r="FG169" s="116" t="str">
        <f t="shared" si="398"/>
        <v>No</v>
      </c>
      <c r="FH169" s="116" t="str">
        <f t="shared" si="398"/>
        <v>No</v>
      </c>
      <c r="FI169" s="112"/>
      <c r="FJ169" s="116" t="str">
        <f t="shared" si="36"/>
        <v>Transactional</v>
      </c>
      <c r="FK169" s="125">
        <f t="shared" si="37"/>
        <v>0.602739726</v>
      </c>
      <c r="FL169" s="116" t="str">
        <f t="shared" si="38"/>
        <v>B2B</v>
      </c>
      <c r="FM169" s="125">
        <f t="shared" si="39"/>
        <v>0.2465753425</v>
      </c>
      <c r="FN169" s="116" t="str">
        <f t="shared" si="40"/>
        <v>Low</v>
      </c>
      <c r="FO169" s="125">
        <f t="shared" si="41"/>
        <v>0.4383561644</v>
      </c>
      <c r="FP169" s="116" t="str">
        <f t="shared" si="42"/>
        <v>Low</v>
      </c>
      <c r="FQ169" s="125">
        <f t="shared" si="43"/>
        <v>0.3561643836</v>
      </c>
      <c r="FR169" s="112"/>
      <c r="FS169" s="123">
        <f t="shared" si="44"/>
        <v>5</v>
      </c>
      <c r="FT169" s="123">
        <f t="shared" si="45"/>
        <v>2.8</v>
      </c>
      <c r="FU169" s="123">
        <f t="shared" si="46"/>
        <v>1</v>
      </c>
      <c r="FV169" s="123">
        <f t="shared" si="47"/>
        <v>5</v>
      </c>
      <c r="FW169" s="119">
        <f t="shared" si="48"/>
        <v>13.8</v>
      </c>
      <c r="FX169" s="115">
        <f>1+((FW169-MIN(performance_ratings_sums))*(4)/(MAX(performance_ratings_sums) - MIN(performance_ratings_sums)))</f>
        <v>3.654205607</v>
      </c>
      <c r="FY169" s="116" t="str">
        <f t="shared" si="49"/>
        <v>Pre-Profit</v>
      </c>
      <c r="FZ169" s="126">
        <f t="shared" si="50"/>
        <v>0.4931506849</v>
      </c>
      <c r="GA169" s="112"/>
      <c r="GB169" s="127">
        <f t="shared" si="51"/>
        <v>1</v>
      </c>
      <c r="GC169" s="116" t="str">
        <f t="shared" si="52"/>
        <v>No</v>
      </c>
      <c r="GD169" s="126">
        <f t="shared" si="53"/>
        <v>0.7671232877</v>
      </c>
      <c r="GE169" s="126" t="str">
        <f t="shared" si="54"/>
        <v/>
      </c>
      <c r="GF169" s="126">
        <f t="shared" si="55"/>
        <v>0</v>
      </c>
      <c r="GG169" s="126" t="str">
        <f t="shared" si="56"/>
        <v/>
      </c>
      <c r="GH169" s="126">
        <f t="shared" si="57"/>
        <v>0</v>
      </c>
      <c r="GI169" s="112"/>
      <c r="GJ169" s="116"/>
      <c r="GK169" s="119">
        <f t="shared" si="58"/>
        <v>14.50836274</v>
      </c>
      <c r="GL169" s="128">
        <f>1+((GK169-MIN(ratings_sums))*(4)/(MAX(ratings_sums) - MIN(ratings_sums)))</f>
        <v>3.244341752</v>
      </c>
    </row>
    <row r="170" ht="15.75" customHeight="1">
      <c r="A170" s="161" t="s">
        <v>1128</v>
      </c>
      <c r="B170" s="15">
        <v>1699476.0</v>
      </c>
      <c r="C170" s="162" t="s">
        <v>1264</v>
      </c>
      <c r="D170" s="163">
        <v>43760.36944444444</v>
      </c>
      <c r="E170" s="15" t="s">
        <v>381</v>
      </c>
      <c r="F170" s="164" t="s">
        <v>1265</v>
      </c>
      <c r="G170" s="164" t="s">
        <v>1266</v>
      </c>
      <c r="H170" s="173">
        <v>43847.0</v>
      </c>
      <c r="I170" s="162" t="s">
        <v>1267</v>
      </c>
      <c r="J170" s="162" t="s">
        <v>1268</v>
      </c>
      <c r="K170" s="15" t="s">
        <v>432</v>
      </c>
      <c r="L170" s="15" t="s">
        <v>80</v>
      </c>
      <c r="M170" s="15" t="s">
        <v>81</v>
      </c>
      <c r="N170" s="15" t="s">
        <v>101</v>
      </c>
      <c r="O170" s="15" t="s">
        <v>35</v>
      </c>
      <c r="Q170" s="15" t="s">
        <v>121</v>
      </c>
      <c r="R170" s="166"/>
      <c r="S170" s="120"/>
      <c r="T170" s="69">
        <v>3.3995244E7</v>
      </c>
      <c r="U170" s="69"/>
      <c r="V170" s="132"/>
      <c r="W170" s="96" t="str">
        <f t="shared" si="125"/>
        <v/>
      </c>
      <c r="X170" s="98">
        <f t="shared" si="126"/>
        <v>33995244</v>
      </c>
      <c r="Y170" s="99" t="str">
        <f t="shared" si="127"/>
        <v>$32M - $34M</v>
      </c>
      <c r="Z170" s="15" t="s">
        <v>86</v>
      </c>
      <c r="AA170" s="15" t="s">
        <v>105</v>
      </c>
      <c r="AB170" s="15" t="s">
        <v>88</v>
      </c>
      <c r="AC170" s="15" t="s">
        <v>493</v>
      </c>
      <c r="AD170" s="15" t="s">
        <v>39</v>
      </c>
      <c r="AE170" s="15" t="s">
        <v>89</v>
      </c>
      <c r="AF170" s="15" t="s">
        <v>469</v>
      </c>
      <c r="AG170" s="69">
        <v>5.36E10</v>
      </c>
      <c r="AH170" s="97" t="str">
        <f t="shared" si="128"/>
        <v>$50B-$100B</v>
      </c>
      <c r="AI170" s="69">
        <v>5.36E10</v>
      </c>
      <c r="AJ170" s="97" t="str">
        <f t="shared" si="129"/>
        <v>$50B-$100B</v>
      </c>
      <c r="AK170" s="167">
        <v>0.07</v>
      </c>
      <c r="AL170" s="88" t="str">
        <f t="shared" si="130"/>
        <v>0%-10%</v>
      </c>
      <c r="AM170" s="15">
        <v>9.0</v>
      </c>
      <c r="AN170" s="15" t="s">
        <v>39</v>
      </c>
      <c r="AO170" s="15" t="s">
        <v>89</v>
      </c>
      <c r="AP170" s="15" t="s">
        <v>90</v>
      </c>
      <c r="AQ170" s="168"/>
      <c r="AR170" s="168"/>
      <c r="AS170" s="15" t="s">
        <v>469</v>
      </c>
      <c r="AT170" s="15" t="s">
        <v>493</v>
      </c>
      <c r="AU170" s="15" t="s">
        <v>493</v>
      </c>
      <c r="AV170" s="15" t="s">
        <v>493</v>
      </c>
      <c r="AW170" s="69">
        <v>2173483.0</v>
      </c>
      <c r="AX170" s="96" t="str">
        <f t="shared" si="131"/>
        <v>$2M - $3M</v>
      </c>
      <c r="AY170" s="69">
        <v>565876.0</v>
      </c>
      <c r="AZ170" s="69">
        <v>615901.0</v>
      </c>
      <c r="BA170" s="103" t="str">
        <f t="shared" si="132"/>
        <v>$500K - $1M</v>
      </c>
      <c r="BB170" s="103">
        <f t="shared" si="133"/>
        <v>0.9187775308</v>
      </c>
      <c r="BC170" s="103" t="str">
        <f t="shared" si="134"/>
        <v>90% - 100%</v>
      </c>
      <c r="BD170" s="15" t="s">
        <v>107</v>
      </c>
      <c r="BF170" s="15" t="s">
        <v>493</v>
      </c>
      <c r="BG170" s="15">
        <v>2.0</v>
      </c>
      <c r="BH170" s="15">
        <v>1.0</v>
      </c>
      <c r="BI170" s="15" t="s">
        <v>493</v>
      </c>
      <c r="BJ170" s="15" t="s">
        <v>469</v>
      </c>
      <c r="BK170" s="15" t="s">
        <v>469</v>
      </c>
      <c r="BL170" s="15" t="s">
        <v>469</v>
      </c>
      <c r="BM170" s="15">
        <v>2.0</v>
      </c>
      <c r="BN170" s="15">
        <v>12.0</v>
      </c>
      <c r="BO170" s="15">
        <v>0.0</v>
      </c>
      <c r="BP170" s="15">
        <v>0.0</v>
      </c>
      <c r="BQ170" s="108"/>
      <c r="BR170" s="15">
        <v>4.0</v>
      </c>
      <c r="BS170" s="15">
        <v>3.0</v>
      </c>
      <c r="BT170" s="15">
        <v>1.0</v>
      </c>
      <c r="BU170" s="15">
        <v>49.0</v>
      </c>
      <c r="BV170" s="15" t="s">
        <v>469</v>
      </c>
      <c r="BW170" s="108"/>
      <c r="CC170" s="108"/>
      <c r="CI170" s="108"/>
      <c r="CO170" s="108"/>
      <c r="CU170" s="108"/>
      <c r="DA170" s="108"/>
      <c r="DG170" s="108"/>
      <c r="DM170" s="108"/>
      <c r="DS170" s="108"/>
      <c r="DT170" s="108"/>
      <c r="DU170" s="108"/>
      <c r="DW170" s="109"/>
      <c r="DX170" s="110">
        <f t="shared" si="13"/>
        <v>4</v>
      </c>
      <c r="DY170" s="111">
        <f t="shared" ref="DY170:DZ170" si="399">sum(BS170,BY170,CE170,CK170,CQ170,CW170,DC170,DI170,DO170)</f>
        <v>3</v>
      </c>
      <c r="DZ170" s="111">
        <f t="shared" si="399"/>
        <v>1</v>
      </c>
      <c r="EA170" s="110">
        <f t="shared" si="15"/>
        <v>49</v>
      </c>
      <c r="EB170" s="99" t="str">
        <f t="shared" si="16"/>
        <v>35 - 54</v>
      </c>
      <c r="EC170" s="112"/>
      <c r="ED170" s="113">
        <f t="shared" si="17"/>
        <v>1.8</v>
      </c>
      <c r="EE170" s="114" t="str">
        <f>IF(V170 &lt;&gt; "", 1+((V170-MIN(discount_rates))*(4)/(MAX(discount_rates) - MIN(discount_rates))), "")</f>
        <v/>
      </c>
      <c r="EF170" s="114" t="str">
        <f>IF(Q170="Debt", (1+((S170-MIN(interest_rates))*(4)/(MAX(interest_rates) - MIN(interest_rates)))), "")</f>
        <v/>
      </c>
      <c r="EG170" s="114" t="str">
        <f>IF(OR(Q170="Revenue Share", Q170="Profit Share"), (1+((R170-MIN(return_mutiples))*(4)/(MAX(return_mutiples) - MIN(return_mutiples)))), "")</f>
        <v/>
      </c>
      <c r="EH170" s="115">
        <f t="shared" si="18"/>
        <v>1.8</v>
      </c>
      <c r="EI170" s="116" t="str">
        <f t="shared" si="19"/>
        <v>Equity - Common</v>
      </c>
      <c r="EJ170" s="117">
        <f t="shared" si="20"/>
        <v>0.3287671233</v>
      </c>
      <c r="EK170" s="116" t="str">
        <f t="shared" si="21"/>
        <v>Growth</v>
      </c>
      <c r="EL170" s="112"/>
      <c r="EM170" s="118">
        <f t="shared" si="22"/>
        <v>3.9</v>
      </c>
      <c r="EN170" s="118">
        <f t="shared" si="23"/>
        <v>1.7</v>
      </c>
      <c r="EO170" s="119">
        <f t="shared" si="24"/>
        <v>5.6</v>
      </c>
      <c r="EP170" s="115">
        <f>1+((EO170-MIN(market_ratings_sums))*(4)/(MAX(market_ratings_sums) - MIN(market_ratings_sums)))</f>
        <v>3.035087719</v>
      </c>
      <c r="EQ170" s="116" t="str">
        <f t="shared" si="25"/>
        <v>No</v>
      </c>
      <c r="ER170" s="112"/>
      <c r="ES170" s="123">
        <f>1+((DX170-MIN(industry_experiences))*(4)/(MAX(industry_experiences) - MIN(industry_experiences)))</f>
        <v>1.380952381</v>
      </c>
      <c r="ET170" s="123">
        <f>1+((DY170-MIN(previous_startups))*(4)/(MAX(previous_startups) - MIN(previous_startups)))</f>
        <v>2.333333333</v>
      </c>
      <c r="EU170" s="123">
        <f>1+((DZ170-MIN(exits))*(4)/(MAX(exits) - MIN(exits)))</f>
        <v>2</v>
      </c>
      <c r="EV170" s="119">
        <f t="shared" si="26"/>
        <v>5.714285714</v>
      </c>
      <c r="EW170" s="124">
        <f>1+((EV170-MIN(team_ratings_sums))*(4)/(MAX(team_ratings_sums) - MIN(team_ratings_sums)))</f>
        <v>2.486956522</v>
      </c>
      <c r="EX170" s="116" t="str">
        <f t="shared" si="27"/>
        <v>35 - 54</v>
      </c>
      <c r="EY170" s="125">
        <f t="shared" si="28"/>
        <v>0.6849315068</v>
      </c>
      <c r="EZ170" s="116">
        <f t="shared" si="29"/>
        <v>1</v>
      </c>
      <c r="FA170" s="125">
        <f t="shared" si="30"/>
        <v>0.4383561644</v>
      </c>
      <c r="FB170" s="116">
        <f t="shared" si="31"/>
        <v>12</v>
      </c>
      <c r="FC170" s="125">
        <f t="shared" si="32"/>
        <v>0.01369863014</v>
      </c>
      <c r="FD170" s="116" t="str">
        <f t="shared" si="33"/>
        <v>Yes</v>
      </c>
      <c r="FE170" s="125">
        <f t="shared" si="34"/>
        <v>0.2465753425</v>
      </c>
      <c r="FF170" s="116" t="str">
        <f t="shared" ref="FF170:FH170" si="400">BJ170</f>
        <v>No</v>
      </c>
      <c r="FG170" s="116" t="str">
        <f t="shared" si="400"/>
        <v>No</v>
      </c>
      <c r="FH170" s="116" t="str">
        <f t="shared" si="400"/>
        <v>No</v>
      </c>
      <c r="FI170" s="112"/>
      <c r="FJ170" s="116" t="str">
        <f t="shared" si="36"/>
        <v>Recurring</v>
      </c>
      <c r="FK170" s="125">
        <f t="shared" si="37"/>
        <v>0.397260274</v>
      </c>
      <c r="FL170" s="116" t="str">
        <f t="shared" si="38"/>
        <v>B2B2C</v>
      </c>
      <c r="FM170" s="125">
        <f t="shared" si="39"/>
        <v>0.02739726027</v>
      </c>
      <c r="FN170" s="116" t="str">
        <f t="shared" si="40"/>
        <v>High</v>
      </c>
      <c r="FO170" s="125">
        <f t="shared" si="41"/>
        <v>0.5616438356</v>
      </c>
      <c r="FP170" s="116" t="str">
        <f t="shared" si="42"/>
        <v>Low</v>
      </c>
      <c r="FQ170" s="125">
        <f t="shared" si="43"/>
        <v>0.3561643836</v>
      </c>
      <c r="FR170" s="112"/>
      <c r="FS170" s="123">
        <f t="shared" si="44"/>
        <v>5</v>
      </c>
      <c r="FT170" s="123">
        <f t="shared" si="45"/>
        <v>3.7</v>
      </c>
      <c r="FU170" s="123">
        <f t="shared" si="46"/>
        <v>1</v>
      </c>
      <c r="FV170" s="123">
        <f t="shared" si="47"/>
        <v>3.2</v>
      </c>
      <c r="FW170" s="119">
        <f t="shared" si="48"/>
        <v>12.9</v>
      </c>
      <c r="FX170" s="115">
        <f>1+((FW170-MIN(performance_ratings_sums))*(4)/(MAX(performance_ratings_sums) - MIN(performance_ratings_sums)))</f>
        <v>3.317757009</v>
      </c>
      <c r="FY170" s="116" t="str">
        <f t="shared" si="49"/>
        <v>Pre-Profit</v>
      </c>
      <c r="FZ170" s="126">
        <f t="shared" si="50"/>
        <v>0.4931506849</v>
      </c>
      <c r="GA170" s="112"/>
      <c r="GB170" s="127">
        <f t="shared" si="51"/>
        <v>3</v>
      </c>
      <c r="GC170" s="116" t="str">
        <f t="shared" si="52"/>
        <v>Yes</v>
      </c>
      <c r="GD170" s="126">
        <f t="shared" si="53"/>
        <v>0.2328767123</v>
      </c>
      <c r="GE170" s="126" t="str">
        <f t="shared" si="54"/>
        <v/>
      </c>
      <c r="GF170" s="126">
        <f t="shared" si="55"/>
        <v>0</v>
      </c>
      <c r="GG170" s="126" t="str">
        <f t="shared" si="56"/>
        <v/>
      </c>
      <c r="GH170" s="126">
        <f t="shared" si="57"/>
        <v>0</v>
      </c>
      <c r="GI170" s="112"/>
      <c r="GJ170" s="116"/>
      <c r="GK170" s="119">
        <f t="shared" si="58"/>
        <v>13.63980125</v>
      </c>
      <c r="GL170" s="128">
        <f>1+((GK170-MIN(ratings_sums))*(4)/(MAX(ratings_sums) - MIN(ratings_sums)))</f>
        <v>2.977832373</v>
      </c>
    </row>
    <row r="171" ht="15.75" customHeight="1">
      <c r="A171" s="161" t="s">
        <v>1128</v>
      </c>
      <c r="B171" s="15">
        <v>1719648.0</v>
      </c>
      <c r="C171" s="162" t="s">
        <v>1269</v>
      </c>
      <c r="D171" s="163">
        <v>43762.342361111114</v>
      </c>
      <c r="E171" s="15" t="s">
        <v>392</v>
      </c>
      <c r="F171" s="164" t="s">
        <v>1270</v>
      </c>
      <c r="G171" s="164" t="s">
        <v>1271</v>
      </c>
      <c r="H171" s="173">
        <v>43749.0</v>
      </c>
      <c r="I171" s="162" t="s">
        <v>1272</v>
      </c>
      <c r="J171" s="162" t="s">
        <v>1269</v>
      </c>
      <c r="K171" s="15" t="s">
        <v>452</v>
      </c>
      <c r="L171" s="15" t="s">
        <v>390</v>
      </c>
      <c r="M171" s="15" t="s">
        <v>100</v>
      </c>
      <c r="N171" s="15" t="s">
        <v>101</v>
      </c>
      <c r="O171" s="15" t="s">
        <v>35</v>
      </c>
      <c r="Q171" s="15" t="s">
        <v>135</v>
      </c>
      <c r="R171" s="166"/>
      <c r="S171" s="120"/>
      <c r="T171" s="69">
        <v>1.24E7</v>
      </c>
      <c r="U171" s="69"/>
      <c r="V171" s="132"/>
      <c r="W171" s="96" t="str">
        <f t="shared" si="125"/>
        <v/>
      </c>
      <c r="X171" s="98">
        <f t="shared" si="126"/>
        <v>12400000</v>
      </c>
      <c r="Y171" s="99" t="str">
        <f t="shared" si="127"/>
        <v>$12M - $14M</v>
      </c>
      <c r="Z171" s="15" t="s">
        <v>36</v>
      </c>
      <c r="AA171" s="15" t="s">
        <v>123</v>
      </c>
      <c r="AB171" s="15" t="s">
        <v>38</v>
      </c>
      <c r="AC171" s="15" t="s">
        <v>493</v>
      </c>
      <c r="AD171" s="15" t="s">
        <v>89</v>
      </c>
      <c r="AE171" s="15" t="s">
        <v>89</v>
      </c>
      <c r="AF171" s="15" t="s">
        <v>469</v>
      </c>
      <c r="AG171" s="69">
        <v>4.87E11</v>
      </c>
      <c r="AH171" s="97" t="str">
        <f t="shared" si="128"/>
        <v>$250B-$500B</v>
      </c>
      <c r="AI171" s="69">
        <v>8.61E10</v>
      </c>
      <c r="AJ171" s="97" t="str">
        <f t="shared" si="129"/>
        <v>$50B-$100B</v>
      </c>
      <c r="AK171" s="167">
        <v>0.04</v>
      </c>
      <c r="AL171" s="88" t="str">
        <f t="shared" si="130"/>
        <v>0%-10%</v>
      </c>
      <c r="AM171" s="32">
        <v>1957.0</v>
      </c>
      <c r="AN171" s="15" t="s">
        <v>89</v>
      </c>
      <c r="AO171" s="15" t="s">
        <v>89</v>
      </c>
      <c r="AP171" s="15" t="s">
        <v>40</v>
      </c>
      <c r="AQ171" s="168"/>
      <c r="AR171" s="168"/>
      <c r="AS171" s="15" t="s">
        <v>469</v>
      </c>
      <c r="AT171" s="15" t="s">
        <v>469</v>
      </c>
      <c r="AU171" s="15" t="s">
        <v>493</v>
      </c>
      <c r="AV171" s="15" t="s">
        <v>493</v>
      </c>
      <c r="AW171" s="69">
        <v>65185.0</v>
      </c>
      <c r="AX171" s="96" t="str">
        <f t="shared" si="131"/>
        <v>$50K - $100K</v>
      </c>
      <c r="AY171" s="69">
        <v>54930.0</v>
      </c>
      <c r="AZ171" s="69">
        <v>1362263.0</v>
      </c>
      <c r="BA171" s="103" t="str">
        <f t="shared" si="132"/>
        <v>$1M - $2M</v>
      </c>
      <c r="BB171" s="103">
        <f t="shared" si="133"/>
        <v>0.04032261024</v>
      </c>
      <c r="BC171" s="103" t="str">
        <f t="shared" si="134"/>
        <v>&lt; 10%</v>
      </c>
      <c r="BD171" s="15" t="s">
        <v>107</v>
      </c>
      <c r="BF171" s="15" t="s">
        <v>493</v>
      </c>
      <c r="BG171" s="15">
        <v>1.0</v>
      </c>
      <c r="BH171" s="15">
        <v>1.0</v>
      </c>
      <c r="BI171" s="15" t="s">
        <v>469</v>
      </c>
      <c r="BJ171" s="15" t="s">
        <v>469</v>
      </c>
      <c r="BK171" s="15" t="s">
        <v>493</v>
      </c>
      <c r="BL171" s="15" t="s">
        <v>469</v>
      </c>
      <c r="BM171" s="15">
        <v>1.0</v>
      </c>
      <c r="BN171" s="15">
        <v>41.0</v>
      </c>
      <c r="BO171" s="15">
        <v>0.0</v>
      </c>
      <c r="BP171" s="15">
        <v>0.0</v>
      </c>
      <c r="BQ171" s="108"/>
      <c r="BR171" s="15">
        <v>0.0</v>
      </c>
      <c r="BS171" s="15">
        <v>2.0</v>
      </c>
      <c r="BT171" s="15">
        <v>0.0</v>
      </c>
      <c r="BU171" s="15">
        <v>56.0</v>
      </c>
      <c r="BV171" s="15" t="s">
        <v>469</v>
      </c>
      <c r="BW171" s="108"/>
      <c r="CC171" s="108"/>
      <c r="CI171" s="108"/>
      <c r="CO171" s="108"/>
      <c r="CU171" s="108"/>
      <c r="DA171" s="108"/>
      <c r="DG171" s="108"/>
      <c r="DM171" s="108"/>
      <c r="DS171" s="108"/>
      <c r="DT171" s="108"/>
      <c r="DU171" s="108"/>
      <c r="DW171" s="109"/>
      <c r="DX171" s="110">
        <f t="shared" si="13"/>
        <v>0</v>
      </c>
      <c r="DY171" s="111">
        <f t="shared" ref="DY171:DZ171" si="401">sum(BS171,BY171,CE171,CK171,CQ171,CW171,DC171,DI171,DO171)</f>
        <v>2</v>
      </c>
      <c r="DZ171" s="111">
        <f t="shared" si="401"/>
        <v>0</v>
      </c>
      <c r="EA171" s="110">
        <f t="shared" si="15"/>
        <v>56</v>
      </c>
      <c r="EB171" s="99" t="str">
        <f t="shared" si="16"/>
        <v>55+</v>
      </c>
      <c r="EC171" s="112"/>
      <c r="ED171" s="113">
        <f t="shared" si="17"/>
        <v>3.7</v>
      </c>
      <c r="EE171" s="114" t="str">
        <f>IF(V171 &lt;&gt; "", 1+((V171-MIN(discount_rates))*(4)/(MAX(discount_rates) - MIN(discount_rates))), "")</f>
        <v/>
      </c>
      <c r="EF171" s="114" t="str">
        <f>IF(Q171="Debt", (1+((S171-MIN(interest_rates))*(4)/(MAX(interest_rates) - MIN(interest_rates)))), "")</f>
        <v/>
      </c>
      <c r="EG171" s="114" t="str">
        <f>IF(OR(Q171="Revenue Share", Q171="Profit Share"), (1+((R171-MIN(return_mutiples))*(4)/(MAX(return_mutiples) - MIN(return_mutiples)))), "")</f>
        <v/>
      </c>
      <c r="EH171" s="115">
        <f t="shared" si="18"/>
        <v>3.7</v>
      </c>
      <c r="EI171" s="116" t="str">
        <f t="shared" si="19"/>
        <v>Equity - Preferred</v>
      </c>
      <c r="EJ171" s="117">
        <f t="shared" si="20"/>
        <v>0.06849315068</v>
      </c>
      <c r="EK171" s="116" t="str">
        <f t="shared" si="21"/>
        <v>Pre-IPO</v>
      </c>
      <c r="EL171" s="112"/>
      <c r="EM171" s="118">
        <f t="shared" si="22"/>
        <v>3.9</v>
      </c>
      <c r="EN171" s="118">
        <f t="shared" si="23"/>
        <v>1.7</v>
      </c>
      <c r="EO171" s="119">
        <f t="shared" si="24"/>
        <v>5.6</v>
      </c>
      <c r="EP171" s="115">
        <f>1+((EO171-MIN(market_ratings_sums))*(4)/(MAX(market_ratings_sums) - MIN(market_ratings_sums)))</f>
        <v>3.035087719</v>
      </c>
      <c r="EQ171" s="116" t="str">
        <f t="shared" si="25"/>
        <v>No</v>
      </c>
      <c r="ER171" s="112"/>
      <c r="ES171" s="123">
        <f>1+((DX171-MIN(industry_experiences))*(4)/(MAX(industry_experiences) - MIN(industry_experiences)))</f>
        <v>1</v>
      </c>
      <c r="ET171" s="123">
        <f>1+((DY171-MIN(previous_startups))*(4)/(MAX(previous_startups) - MIN(previous_startups)))</f>
        <v>1.888888889</v>
      </c>
      <c r="EU171" s="123">
        <f>1+((DZ171-MIN(exits))*(4)/(MAX(exits) - MIN(exits)))</f>
        <v>1</v>
      </c>
      <c r="EV171" s="119">
        <f t="shared" si="26"/>
        <v>3.888888889</v>
      </c>
      <c r="EW171" s="124">
        <f>1+((EV171-MIN(team_ratings_sums))*(4)/(MAX(team_ratings_sums) - MIN(team_ratings_sums)))</f>
        <v>1.486956522</v>
      </c>
      <c r="EX171" s="116" t="str">
        <f t="shared" si="27"/>
        <v>55+</v>
      </c>
      <c r="EY171" s="125">
        <f t="shared" si="28"/>
        <v>0.1095890411</v>
      </c>
      <c r="EZ171" s="116">
        <f t="shared" si="29"/>
        <v>1</v>
      </c>
      <c r="FA171" s="125">
        <f t="shared" si="30"/>
        <v>0.4383561644</v>
      </c>
      <c r="FB171" s="116">
        <f t="shared" si="31"/>
        <v>41</v>
      </c>
      <c r="FC171" s="125">
        <f t="shared" si="32"/>
        <v>0</v>
      </c>
      <c r="FD171" s="116" t="str">
        <f t="shared" si="33"/>
        <v>No</v>
      </c>
      <c r="FE171" s="125">
        <f t="shared" si="34"/>
        <v>0.7534246575</v>
      </c>
      <c r="FF171" s="116" t="str">
        <f t="shared" ref="FF171:FH171" si="402">BJ171</f>
        <v>No</v>
      </c>
      <c r="FG171" s="116" t="str">
        <f t="shared" si="402"/>
        <v>Yes</v>
      </c>
      <c r="FH171" s="116" t="str">
        <f t="shared" si="402"/>
        <v>No</v>
      </c>
      <c r="FI171" s="112"/>
      <c r="FJ171" s="116" t="str">
        <f t="shared" si="36"/>
        <v>Transactional</v>
      </c>
      <c r="FK171" s="125">
        <f t="shared" si="37"/>
        <v>0.602739726</v>
      </c>
      <c r="FL171" s="116" t="str">
        <f t="shared" si="38"/>
        <v>B2B/B2C</v>
      </c>
      <c r="FM171" s="125">
        <f t="shared" si="39"/>
        <v>0.3287671233</v>
      </c>
      <c r="FN171" s="116" t="str">
        <f t="shared" si="40"/>
        <v>Low</v>
      </c>
      <c r="FO171" s="125">
        <f t="shared" si="41"/>
        <v>0.4383561644</v>
      </c>
      <c r="FP171" s="116" t="str">
        <f t="shared" si="42"/>
        <v>Low</v>
      </c>
      <c r="FQ171" s="125">
        <f t="shared" si="43"/>
        <v>0.3561643836</v>
      </c>
      <c r="FR171" s="112"/>
      <c r="FS171" s="123">
        <f t="shared" si="44"/>
        <v>5</v>
      </c>
      <c r="FT171" s="123">
        <f t="shared" si="45"/>
        <v>1.9</v>
      </c>
      <c r="FU171" s="123">
        <f t="shared" si="46"/>
        <v>5</v>
      </c>
      <c r="FV171" s="123">
        <f t="shared" si="47"/>
        <v>2.8</v>
      </c>
      <c r="FW171" s="119">
        <f t="shared" si="48"/>
        <v>14.7</v>
      </c>
      <c r="FX171" s="115">
        <f>1+((FW171-MIN(performance_ratings_sums))*(4)/(MAX(performance_ratings_sums) - MIN(performance_ratings_sums)))</f>
        <v>3.990654206</v>
      </c>
      <c r="FY171" s="116" t="str">
        <f t="shared" si="49"/>
        <v>Pre-Profit</v>
      </c>
      <c r="FZ171" s="126">
        <f t="shared" si="50"/>
        <v>0.4931506849</v>
      </c>
      <c r="GA171" s="112"/>
      <c r="GB171" s="127">
        <f t="shared" si="51"/>
        <v>1</v>
      </c>
      <c r="GC171" s="116" t="str">
        <f t="shared" si="52"/>
        <v>No</v>
      </c>
      <c r="GD171" s="126">
        <f t="shared" si="53"/>
        <v>0.7671232877</v>
      </c>
      <c r="GE171" s="126" t="str">
        <f t="shared" si="54"/>
        <v/>
      </c>
      <c r="GF171" s="126">
        <f t="shared" si="55"/>
        <v>0</v>
      </c>
      <c r="GG171" s="126" t="str">
        <f t="shared" si="56"/>
        <v/>
      </c>
      <c r="GH171" s="126">
        <f t="shared" si="57"/>
        <v>0</v>
      </c>
      <c r="GI171" s="112"/>
      <c r="GJ171" s="116"/>
      <c r="GK171" s="119">
        <f t="shared" si="58"/>
        <v>13.21269845</v>
      </c>
      <c r="GL171" s="128">
        <f>1+((GK171-MIN(ratings_sums))*(4)/(MAX(ratings_sums) - MIN(ratings_sums)))</f>
        <v>2.846780162</v>
      </c>
    </row>
    <row r="172" ht="15.75" customHeight="1">
      <c r="A172" s="161" t="s">
        <v>1128</v>
      </c>
      <c r="B172" s="15">
        <v>1791992.0</v>
      </c>
      <c r="C172" s="162" t="s">
        <v>1273</v>
      </c>
      <c r="D172" s="163">
        <v>43763.444444444445</v>
      </c>
      <c r="E172" s="15" t="s">
        <v>381</v>
      </c>
      <c r="F172" s="164" t="s">
        <v>1274</v>
      </c>
      <c r="G172" s="164" t="s">
        <v>1275</v>
      </c>
      <c r="H172" s="173">
        <v>43882.0</v>
      </c>
      <c r="I172" s="162" t="s">
        <v>1276</v>
      </c>
      <c r="J172" s="162" t="s">
        <v>1273</v>
      </c>
      <c r="K172" s="15" t="s">
        <v>436</v>
      </c>
      <c r="L172" s="15" t="s">
        <v>355</v>
      </c>
      <c r="M172" s="15" t="s">
        <v>31</v>
      </c>
      <c r="N172" s="15" t="s">
        <v>32</v>
      </c>
      <c r="O172" s="15" t="s">
        <v>35</v>
      </c>
      <c r="Q172" s="15" t="s">
        <v>135</v>
      </c>
      <c r="R172" s="166"/>
      <c r="S172" s="120"/>
      <c r="T172" s="69">
        <v>8000000.0</v>
      </c>
      <c r="U172" s="69"/>
      <c r="V172" s="132"/>
      <c r="W172" s="96" t="str">
        <f t="shared" si="125"/>
        <v/>
      </c>
      <c r="X172" s="98">
        <f t="shared" si="126"/>
        <v>8000000</v>
      </c>
      <c r="Y172" s="99" t="str">
        <f t="shared" si="127"/>
        <v>$6M - $8M</v>
      </c>
      <c r="Z172" s="15" t="s">
        <v>86</v>
      </c>
      <c r="AA172" s="15" t="s">
        <v>123</v>
      </c>
      <c r="AB172" s="15" t="s">
        <v>88</v>
      </c>
      <c r="AC172" s="15" t="s">
        <v>493</v>
      </c>
      <c r="AD172" s="15" t="s">
        <v>89</v>
      </c>
      <c r="AE172" s="15" t="s">
        <v>89</v>
      </c>
      <c r="AF172" s="15" t="s">
        <v>469</v>
      </c>
      <c r="AG172" s="69">
        <v>1.095E9</v>
      </c>
      <c r="AH172" s="97" t="str">
        <f t="shared" si="128"/>
        <v>$1B-$5B</v>
      </c>
      <c r="AI172" s="69">
        <v>1.095E9</v>
      </c>
      <c r="AJ172" s="97" t="str">
        <f t="shared" si="129"/>
        <v>$1B-$5B</v>
      </c>
      <c r="AK172" s="167">
        <v>0.05</v>
      </c>
      <c r="AL172" s="88" t="str">
        <f t="shared" si="130"/>
        <v>0%-10%</v>
      </c>
      <c r="AM172" s="15">
        <v>109.0</v>
      </c>
      <c r="AN172" s="15" t="s">
        <v>39</v>
      </c>
      <c r="AO172" s="15" t="s">
        <v>89</v>
      </c>
      <c r="AP172" s="15" t="s">
        <v>40</v>
      </c>
      <c r="AQ172" s="168"/>
      <c r="AR172" s="168"/>
      <c r="AS172" s="15" t="s">
        <v>469</v>
      </c>
      <c r="AT172" s="15" t="s">
        <v>469</v>
      </c>
      <c r="AU172" s="15" t="s">
        <v>493</v>
      </c>
      <c r="AV172" s="15" t="s">
        <v>493</v>
      </c>
      <c r="AW172" s="69">
        <v>0.0</v>
      </c>
      <c r="AX172" s="96" t="str">
        <f t="shared" si="131"/>
        <v>&lt; $10K</v>
      </c>
      <c r="AY172" s="69">
        <v>272.0</v>
      </c>
      <c r="AZ172" s="69">
        <v>0.0</v>
      </c>
      <c r="BA172" s="103" t="str">
        <f t="shared" si="132"/>
        <v>&lt; $10K</v>
      </c>
      <c r="BB172" s="103">
        <f t="shared" si="133"/>
        <v>1</v>
      </c>
      <c r="BC172" s="103" t="str">
        <f t="shared" si="134"/>
        <v>90% - 100%</v>
      </c>
      <c r="BD172" s="15" t="s">
        <v>91</v>
      </c>
      <c r="BF172" s="15" t="s">
        <v>493</v>
      </c>
      <c r="BG172" s="15">
        <v>3.0</v>
      </c>
      <c r="BH172" s="15">
        <v>1.0</v>
      </c>
      <c r="BI172" s="15" t="s">
        <v>493</v>
      </c>
      <c r="BJ172" s="15" t="s">
        <v>469</v>
      </c>
      <c r="BK172" s="15" t="s">
        <v>493</v>
      </c>
      <c r="BL172" s="15" t="s">
        <v>469</v>
      </c>
      <c r="BM172" s="15">
        <v>3.0</v>
      </c>
      <c r="BN172" s="15">
        <v>2.0</v>
      </c>
      <c r="BO172" s="15">
        <v>3.0</v>
      </c>
      <c r="BP172" s="15">
        <v>0.0</v>
      </c>
      <c r="BQ172" s="108"/>
      <c r="BR172" s="15">
        <v>2.0</v>
      </c>
      <c r="BS172" s="15">
        <v>6.0</v>
      </c>
      <c r="BT172" s="15">
        <v>0.0</v>
      </c>
      <c r="BU172" s="15">
        <v>48.0</v>
      </c>
      <c r="BV172" s="15" t="s">
        <v>469</v>
      </c>
      <c r="BW172" s="108"/>
      <c r="CC172" s="108"/>
      <c r="CI172" s="108"/>
      <c r="CO172" s="108"/>
      <c r="CU172" s="108"/>
      <c r="DA172" s="108"/>
      <c r="DG172" s="108"/>
      <c r="DM172" s="108"/>
      <c r="DS172" s="108"/>
      <c r="DT172" s="108"/>
      <c r="DU172" s="108"/>
      <c r="DW172" s="109"/>
      <c r="DX172" s="110">
        <f t="shared" si="13"/>
        <v>2</v>
      </c>
      <c r="DY172" s="111">
        <f t="shared" ref="DY172:DZ172" si="403">sum(BS172,BY172,CE172,CK172,CQ172,CW172,DC172,DI172,DO172)</f>
        <v>6</v>
      </c>
      <c r="DZ172" s="111">
        <f t="shared" si="403"/>
        <v>0</v>
      </c>
      <c r="EA172" s="110">
        <f t="shared" si="15"/>
        <v>48</v>
      </c>
      <c r="EB172" s="99" t="str">
        <f t="shared" si="16"/>
        <v>35 - 54</v>
      </c>
      <c r="EC172" s="112"/>
      <c r="ED172" s="113">
        <f t="shared" si="17"/>
        <v>4.2</v>
      </c>
      <c r="EE172" s="114" t="str">
        <f>IF(V172 &lt;&gt; "", 1+((V172-MIN(discount_rates))*(4)/(MAX(discount_rates) - MIN(discount_rates))), "")</f>
        <v/>
      </c>
      <c r="EF172" s="114" t="str">
        <f>IF(Q172="Debt", (1+((S172-MIN(interest_rates))*(4)/(MAX(interest_rates) - MIN(interest_rates)))), "")</f>
        <v/>
      </c>
      <c r="EG172" s="114" t="str">
        <f>IF(OR(Q172="Revenue Share", Q172="Profit Share"), (1+((R172-MIN(return_mutiples))*(4)/(MAX(return_mutiples) - MIN(return_mutiples)))), "")</f>
        <v/>
      </c>
      <c r="EH172" s="115">
        <f t="shared" si="18"/>
        <v>4.2</v>
      </c>
      <c r="EI172" s="116" t="str">
        <f t="shared" si="19"/>
        <v>Equity - Preferred</v>
      </c>
      <c r="EJ172" s="117">
        <f t="shared" si="20"/>
        <v>0.06849315068</v>
      </c>
      <c r="EK172" s="116" t="str">
        <f t="shared" si="21"/>
        <v>Early</v>
      </c>
      <c r="EL172" s="112"/>
      <c r="EM172" s="118">
        <f t="shared" si="22"/>
        <v>2.7</v>
      </c>
      <c r="EN172" s="118">
        <f t="shared" si="23"/>
        <v>1.7</v>
      </c>
      <c r="EO172" s="119">
        <f t="shared" si="24"/>
        <v>4.4</v>
      </c>
      <c r="EP172" s="115">
        <f>1+((EO172-MIN(market_ratings_sums))*(4)/(MAX(market_ratings_sums) - MIN(market_ratings_sums)))</f>
        <v>2.192982456</v>
      </c>
      <c r="EQ172" s="116" t="str">
        <f t="shared" si="25"/>
        <v>No</v>
      </c>
      <c r="ER172" s="112"/>
      <c r="ES172" s="123">
        <f>1+((DX172-MIN(industry_experiences))*(4)/(MAX(industry_experiences) - MIN(industry_experiences)))</f>
        <v>1.19047619</v>
      </c>
      <c r="ET172" s="123">
        <f>1+((DY172-MIN(previous_startups))*(4)/(MAX(previous_startups) - MIN(previous_startups)))</f>
        <v>3.666666667</v>
      </c>
      <c r="EU172" s="123">
        <f>1+((DZ172-MIN(exits))*(4)/(MAX(exits) - MIN(exits)))</f>
        <v>1</v>
      </c>
      <c r="EV172" s="119">
        <f t="shared" si="26"/>
        <v>5.857142857</v>
      </c>
      <c r="EW172" s="124">
        <f>1+((EV172-MIN(team_ratings_sums))*(4)/(MAX(team_ratings_sums) - MIN(team_ratings_sums)))</f>
        <v>2.565217391</v>
      </c>
      <c r="EX172" s="116" t="str">
        <f t="shared" si="27"/>
        <v>35 - 54</v>
      </c>
      <c r="EY172" s="125">
        <f t="shared" si="28"/>
        <v>0.6849315068</v>
      </c>
      <c r="EZ172" s="116">
        <f t="shared" si="29"/>
        <v>1</v>
      </c>
      <c r="FA172" s="125">
        <f t="shared" si="30"/>
        <v>0.4383561644</v>
      </c>
      <c r="FB172" s="116">
        <f t="shared" si="31"/>
        <v>2</v>
      </c>
      <c r="FC172" s="125">
        <f t="shared" si="32"/>
        <v>0.1369863014</v>
      </c>
      <c r="FD172" s="116" t="str">
        <f t="shared" si="33"/>
        <v>Yes</v>
      </c>
      <c r="FE172" s="125">
        <f t="shared" si="34"/>
        <v>0.2465753425</v>
      </c>
      <c r="FF172" s="116" t="str">
        <f t="shared" ref="FF172:FH172" si="404">BJ172</f>
        <v>No</v>
      </c>
      <c r="FG172" s="116" t="str">
        <f t="shared" si="404"/>
        <v>Yes</v>
      </c>
      <c r="FH172" s="116" t="str">
        <f t="shared" si="404"/>
        <v>No</v>
      </c>
      <c r="FI172" s="112"/>
      <c r="FJ172" s="116" t="str">
        <f t="shared" si="36"/>
        <v>Recurring</v>
      </c>
      <c r="FK172" s="125">
        <f t="shared" si="37"/>
        <v>0.397260274</v>
      </c>
      <c r="FL172" s="116" t="str">
        <f t="shared" si="38"/>
        <v>B2B/B2C</v>
      </c>
      <c r="FM172" s="125">
        <f t="shared" si="39"/>
        <v>0.3287671233</v>
      </c>
      <c r="FN172" s="116" t="str">
        <f t="shared" si="40"/>
        <v>Low</v>
      </c>
      <c r="FO172" s="125">
        <f t="shared" si="41"/>
        <v>0.4383561644</v>
      </c>
      <c r="FP172" s="116" t="str">
        <f t="shared" si="42"/>
        <v>Low</v>
      </c>
      <c r="FQ172" s="125">
        <f t="shared" si="43"/>
        <v>0.3561643836</v>
      </c>
      <c r="FR172" s="112"/>
      <c r="FS172" s="123">
        <f t="shared" si="44"/>
        <v>5</v>
      </c>
      <c r="FT172" s="123">
        <f t="shared" si="45"/>
        <v>1</v>
      </c>
      <c r="FU172" s="123">
        <f t="shared" si="46"/>
        <v>1</v>
      </c>
      <c r="FV172" s="123">
        <f t="shared" si="47"/>
        <v>5</v>
      </c>
      <c r="FW172" s="119">
        <f t="shared" si="48"/>
        <v>12</v>
      </c>
      <c r="FX172" s="115">
        <f>1+((FW172-MIN(performance_ratings_sums))*(4)/(MAX(performance_ratings_sums) - MIN(performance_ratings_sums)))</f>
        <v>2.981308411</v>
      </c>
      <c r="FY172" s="116" t="str">
        <f t="shared" si="49"/>
        <v>Pre-Revenue</v>
      </c>
      <c r="FZ172" s="126">
        <f t="shared" si="50"/>
        <v>0.2054794521</v>
      </c>
      <c r="GA172" s="112"/>
      <c r="GB172" s="127">
        <f t="shared" si="51"/>
        <v>3</v>
      </c>
      <c r="GC172" s="116" t="str">
        <f t="shared" si="52"/>
        <v>No</v>
      </c>
      <c r="GD172" s="126">
        <f t="shared" si="53"/>
        <v>0.7671232877</v>
      </c>
      <c r="GE172" s="126" t="str">
        <f t="shared" si="54"/>
        <v/>
      </c>
      <c r="GF172" s="126">
        <f t="shared" si="55"/>
        <v>0</v>
      </c>
      <c r="GG172" s="126" t="str">
        <f t="shared" si="56"/>
        <v/>
      </c>
      <c r="GH172" s="126">
        <f t="shared" si="57"/>
        <v>0</v>
      </c>
      <c r="GI172" s="112"/>
      <c r="GJ172" s="116"/>
      <c r="GK172" s="119">
        <f t="shared" si="58"/>
        <v>14.93950826</v>
      </c>
      <c r="GL172" s="128">
        <f>1+((GK172-MIN(ratings_sums))*(4)/(MAX(ratings_sums) - MIN(ratings_sums)))</f>
        <v>3.376634429</v>
      </c>
    </row>
    <row r="173" ht="15.75" customHeight="1">
      <c r="A173" s="161" t="s">
        <v>1128</v>
      </c>
      <c r="B173" s="15">
        <v>1792013.0</v>
      </c>
      <c r="C173" s="162" t="s">
        <v>1277</v>
      </c>
      <c r="D173" s="163">
        <v>43766.493055555555</v>
      </c>
      <c r="E173" s="15" t="s">
        <v>1278</v>
      </c>
      <c r="F173" s="164" t="s">
        <v>1279</v>
      </c>
      <c r="G173" s="164" t="s">
        <v>1280</v>
      </c>
      <c r="H173" s="173">
        <v>43766.0</v>
      </c>
      <c r="I173" s="162" t="s">
        <v>1281</v>
      </c>
      <c r="J173" s="162" t="s">
        <v>1277</v>
      </c>
      <c r="K173" s="15" t="s">
        <v>419</v>
      </c>
      <c r="L173" s="15" t="s">
        <v>316</v>
      </c>
      <c r="M173" s="15" t="s">
        <v>31</v>
      </c>
      <c r="N173" s="15" t="s">
        <v>32</v>
      </c>
      <c r="O173" s="15" t="s">
        <v>35</v>
      </c>
      <c r="Q173" s="15" t="s">
        <v>84</v>
      </c>
      <c r="R173" s="166"/>
      <c r="S173" s="120"/>
      <c r="T173" s="69"/>
      <c r="U173" s="69">
        <v>4000000.0</v>
      </c>
      <c r="V173" s="132">
        <v>0.2</v>
      </c>
      <c r="W173" s="96">
        <f t="shared" si="125"/>
        <v>3200000</v>
      </c>
      <c r="X173" s="98">
        <f t="shared" si="126"/>
        <v>3200000</v>
      </c>
      <c r="Y173" s="99" t="str">
        <f t="shared" si="127"/>
        <v>$2M - $4M</v>
      </c>
      <c r="Z173" s="15" t="s">
        <v>86</v>
      </c>
      <c r="AA173" s="15" t="s">
        <v>123</v>
      </c>
      <c r="AB173" s="15" t="s">
        <v>38</v>
      </c>
      <c r="AC173" s="15" t="s">
        <v>493</v>
      </c>
      <c r="AD173" s="15" t="s">
        <v>89</v>
      </c>
      <c r="AE173" s="15" t="s">
        <v>89</v>
      </c>
      <c r="AF173" s="15" t="s">
        <v>469</v>
      </c>
      <c r="AG173" s="69">
        <v>1.616E10</v>
      </c>
      <c r="AH173" s="97" t="str">
        <f t="shared" si="128"/>
        <v>$10B-$25B</v>
      </c>
      <c r="AI173" s="69">
        <v>1.616E10</v>
      </c>
      <c r="AJ173" s="97" t="str">
        <f t="shared" si="129"/>
        <v>$10B-$25B</v>
      </c>
      <c r="AK173" s="167">
        <v>0.19</v>
      </c>
      <c r="AL173" s="88" t="str">
        <f t="shared" si="130"/>
        <v>10%-20%</v>
      </c>
      <c r="AM173" s="15">
        <v>10.0</v>
      </c>
      <c r="AN173" s="15" t="s">
        <v>89</v>
      </c>
      <c r="AO173" s="15" t="s">
        <v>89</v>
      </c>
      <c r="AP173" s="15" t="s">
        <v>40</v>
      </c>
      <c r="AQ173" s="168"/>
      <c r="AR173" s="168"/>
      <c r="AS173" s="15" t="s">
        <v>469</v>
      </c>
      <c r="AT173" s="15" t="s">
        <v>469</v>
      </c>
      <c r="AU173" s="15" t="s">
        <v>469</v>
      </c>
      <c r="AV173" s="15" t="s">
        <v>469</v>
      </c>
      <c r="AW173" s="69">
        <v>0.0</v>
      </c>
      <c r="AX173" s="96" t="str">
        <f t="shared" si="131"/>
        <v>&lt; $10K</v>
      </c>
      <c r="AY173" s="69">
        <v>0.0</v>
      </c>
      <c r="AZ173" s="69">
        <v>0.0</v>
      </c>
      <c r="BA173" s="103" t="str">
        <f t="shared" si="132"/>
        <v>&lt; $10K</v>
      </c>
      <c r="BB173" s="103">
        <f t="shared" si="133"/>
        <v>1</v>
      </c>
      <c r="BC173" s="103" t="str">
        <f t="shared" si="134"/>
        <v>90% - 100%</v>
      </c>
      <c r="BD173" s="15" t="s">
        <v>41</v>
      </c>
      <c r="BF173" s="15" t="s">
        <v>469</v>
      </c>
      <c r="BG173" s="15">
        <v>0.0</v>
      </c>
      <c r="BH173" s="15">
        <v>2.0</v>
      </c>
      <c r="BI173" s="15" t="s">
        <v>469</v>
      </c>
      <c r="BJ173" s="15" t="s">
        <v>469</v>
      </c>
      <c r="BK173" s="15" t="s">
        <v>493</v>
      </c>
      <c r="BL173" s="15" t="s">
        <v>469</v>
      </c>
      <c r="BM173" s="15">
        <v>2.0</v>
      </c>
      <c r="BN173" s="15">
        <v>2.0</v>
      </c>
      <c r="BO173" s="15">
        <v>4.0</v>
      </c>
      <c r="BP173" s="15">
        <v>0.0</v>
      </c>
      <c r="BQ173" s="108"/>
      <c r="BR173" s="15">
        <v>0.0</v>
      </c>
      <c r="BS173" s="15">
        <v>0.0</v>
      </c>
      <c r="BT173" s="15">
        <v>0.0</v>
      </c>
      <c r="BU173" s="15">
        <v>30.0</v>
      </c>
      <c r="BV173" s="15" t="s">
        <v>469</v>
      </c>
      <c r="BW173" s="108"/>
      <c r="BX173" s="15">
        <v>0.0</v>
      </c>
      <c r="BY173" s="15">
        <v>0.0</v>
      </c>
      <c r="BZ173" s="15">
        <v>0.0</v>
      </c>
      <c r="CA173" s="15">
        <v>30.0</v>
      </c>
      <c r="CB173" s="15" t="s">
        <v>469</v>
      </c>
      <c r="CC173" s="108"/>
      <c r="CI173" s="108"/>
      <c r="CO173" s="108"/>
      <c r="CU173" s="108"/>
      <c r="DA173" s="108"/>
      <c r="DG173" s="108"/>
      <c r="DM173" s="108"/>
      <c r="DS173" s="108"/>
      <c r="DT173" s="108"/>
      <c r="DU173" s="108"/>
      <c r="DW173" s="109"/>
      <c r="DX173" s="110">
        <f t="shared" si="13"/>
        <v>0</v>
      </c>
      <c r="DY173" s="111">
        <f t="shared" ref="DY173:DZ173" si="405">sum(BS173,BY173,CE173,CK173,CQ173,CW173,DC173,DI173,DO173)</f>
        <v>0</v>
      </c>
      <c r="DZ173" s="111">
        <f t="shared" si="405"/>
        <v>0</v>
      </c>
      <c r="EA173" s="110">
        <f t="shared" si="15"/>
        <v>30</v>
      </c>
      <c r="EB173" s="99" t="str">
        <f t="shared" si="16"/>
        <v>20 - 34</v>
      </c>
      <c r="EC173" s="112"/>
      <c r="ED173" s="113">
        <f t="shared" si="17"/>
        <v>4.6</v>
      </c>
      <c r="EE173" s="114">
        <f>IF(V173 &lt;&gt; "", 1+((V173-MIN(discount_rates))*(4)/(MAX(discount_rates) - MIN(discount_rates))), "")</f>
        <v>3.105263158</v>
      </c>
      <c r="EF173" s="114" t="str">
        <f>IF(Q173="Debt", (1+((S173-MIN(interest_rates))*(4)/(MAX(interest_rates) - MIN(interest_rates)))), "")</f>
        <v/>
      </c>
      <c r="EG173" s="114" t="str">
        <f>IF(OR(Q173="Revenue Share", Q173="Profit Share"), (1+((R173-MIN(return_mutiples))*(4)/(MAX(return_mutiples) - MIN(return_mutiples)))), "")</f>
        <v/>
      </c>
      <c r="EH173" s="115">
        <f t="shared" si="18"/>
        <v>4.6</v>
      </c>
      <c r="EI173" s="116" t="str">
        <f t="shared" si="19"/>
        <v>Convertible Note</v>
      </c>
      <c r="EJ173" s="117">
        <f t="shared" si="20"/>
        <v>0.1232876712</v>
      </c>
      <c r="EK173" s="116" t="str">
        <f t="shared" si="21"/>
        <v>Early</v>
      </c>
      <c r="EL173" s="112"/>
      <c r="EM173" s="118">
        <f t="shared" si="22"/>
        <v>3.3</v>
      </c>
      <c r="EN173" s="118">
        <f t="shared" si="23"/>
        <v>2.3</v>
      </c>
      <c r="EO173" s="119">
        <f t="shared" si="24"/>
        <v>5.6</v>
      </c>
      <c r="EP173" s="115">
        <f>1+((EO173-MIN(market_ratings_sums))*(4)/(MAX(market_ratings_sums) - MIN(market_ratings_sums)))</f>
        <v>3.035087719</v>
      </c>
      <c r="EQ173" s="116" t="str">
        <f t="shared" si="25"/>
        <v>No</v>
      </c>
      <c r="ER173" s="112"/>
      <c r="ES173" s="123">
        <f>1+((DX173-MIN(industry_experiences))*(4)/(MAX(industry_experiences) - MIN(industry_experiences)))</f>
        <v>1</v>
      </c>
      <c r="ET173" s="123">
        <f>1+((DY173-MIN(previous_startups))*(4)/(MAX(previous_startups) - MIN(previous_startups)))</f>
        <v>1</v>
      </c>
      <c r="EU173" s="123">
        <f>1+((DZ173-MIN(exits))*(4)/(MAX(exits) - MIN(exits)))</f>
        <v>1</v>
      </c>
      <c r="EV173" s="119">
        <f t="shared" si="26"/>
        <v>3</v>
      </c>
      <c r="EW173" s="124">
        <f>1+((EV173-MIN(team_ratings_sums))*(4)/(MAX(team_ratings_sums) - MIN(team_ratings_sums)))</f>
        <v>1</v>
      </c>
      <c r="EX173" s="116" t="str">
        <f t="shared" si="27"/>
        <v>20 - 34</v>
      </c>
      <c r="EY173" s="125">
        <f t="shared" si="28"/>
        <v>0.2054794521</v>
      </c>
      <c r="EZ173" s="116">
        <f t="shared" si="29"/>
        <v>2</v>
      </c>
      <c r="FA173" s="125">
        <f t="shared" si="30"/>
        <v>0.4520547945</v>
      </c>
      <c r="FB173" s="116">
        <f t="shared" si="31"/>
        <v>2</v>
      </c>
      <c r="FC173" s="125">
        <f t="shared" si="32"/>
        <v>0.1369863014</v>
      </c>
      <c r="FD173" s="116" t="str">
        <f t="shared" si="33"/>
        <v>No</v>
      </c>
      <c r="FE173" s="125">
        <f t="shared" si="34"/>
        <v>0.7534246575</v>
      </c>
      <c r="FF173" s="116" t="str">
        <f t="shared" ref="FF173:FH173" si="406">BJ173</f>
        <v>No</v>
      </c>
      <c r="FG173" s="116" t="str">
        <f t="shared" si="406"/>
        <v>Yes</v>
      </c>
      <c r="FH173" s="116" t="str">
        <f t="shared" si="406"/>
        <v>No</v>
      </c>
      <c r="FI173" s="112"/>
      <c r="FJ173" s="116" t="str">
        <f t="shared" si="36"/>
        <v>Recurring</v>
      </c>
      <c r="FK173" s="125">
        <f t="shared" si="37"/>
        <v>0.397260274</v>
      </c>
      <c r="FL173" s="116" t="str">
        <f t="shared" si="38"/>
        <v>B2B/B2C</v>
      </c>
      <c r="FM173" s="125">
        <f t="shared" si="39"/>
        <v>0.3287671233</v>
      </c>
      <c r="FN173" s="116" t="str">
        <f t="shared" si="40"/>
        <v>Low</v>
      </c>
      <c r="FO173" s="125">
        <f t="shared" si="41"/>
        <v>0.4383561644</v>
      </c>
      <c r="FP173" s="116" t="str">
        <f t="shared" si="42"/>
        <v>Low</v>
      </c>
      <c r="FQ173" s="125">
        <f t="shared" si="43"/>
        <v>0.3561643836</v>
      </c>
      <c r="FR173" s="112"/>
      <c r="FS173" s="123">
        <f t="shared" si="44"/>
        <v>1</v>
      </c>
      <c r="FT173" s="123">
        <f t="shared" si="45"/>
        <v>1</v>
      </c>
      <c r="FU173" s="123">
        <f t="shared" si="46"/>
        <v>1</v>
      </c>
      <c r="FV173" s="123">
        <f t="shared" si="47"/>
        <v>5</v>
      </c>
      <c r="FW173" s="119">
        <f t="shared" si="48"/>
        <v>8</v>
      </c>
      <c r="FX173" s="115">
        <f>1+((FW173-MIN(performance_ratings_sums))*(4)/(MAX(performance_ratings_sums) - MIN(performance_ratings_sums)))</f>
        <v>1.485981308</v>
      </c>
      <c r="FY173" s="116" t="str">
        <f t="shared" si="49"/>
        <v>Pre-Product</v>
      </c>
      <c r="FZ173" s="126">
        <f t="shared" si="50"/>
        <v>0.2328767123</v>
      </c>
      <c r="GA173" s="112"/>
      <c r="GB173" s="127">
        <f t="shared" si="51"/>
        <v>1</v>
      </c>
      <c r="GC173" s="116" t="str">
        <f t="shared" si="52"/>
        <v>No</v>
      </c>
      <c r="GD173" s="126">
        <f t="shared" si="53"/>
        <v>0.7671232877</v>
      </c>
      <c r="GE173" s="126" t="str">
        <f t="shared" si="54"/>
        <v/>
      </c>
      <c r="GF173" s="126">
        <f t="shared" si="55"/>
        <v>0</v>
      </c>
      <c r="GG173" s="126" t="str">
        <f t="shared" si="56"/>
        <v/>
      </c>
      <c r="GH173" s="126">
        <f t="shared" si="57"/>
        <v>0</v>
      </c>
      <c r="GI173" s="112"/>
      <c r="GJ173" s="116"/>
      <c r="GK173" s="119">
        <f t="shared" si="58"/>
        <v>11.12106903</v>
      </c>
      <c r="GL173" s="128">
        <f>1+((GK173-MIN(ratings_sums))*(4)/(MAX(ratings_sums) - MIN(ratings_sums)))</f>
        <v>2.204984659</v>
      </c>
    </row>
    <row r="174" ht="15.75" customHeight="1">
      <c r="A174" s="161" t="s">
        <v>1128</v>
      </c>
      <c r="B174" s="15">
        <v>1791721.0</v>
      </c>
      <c r="C174" s="162" t="s">
        <v>1282</v>
      </c>
      <c r="D174" s="163">
        <v>43767.44097222222</v>
      </c>
      <c r="E174" s="15" t="s">
        <v>381</v>
      </c>
      <c r="F174" s="164" t="s">
        <v>1283</v>
      </c>
      <c r="G174" s="164" t="s">
        <v>1284</v>
      </c>
      <c r="H174" s="173">
        <v>43857.0</v>
      </c>
      <c r="I174" s="162" t="s">
        <v>1285</v>
      </c>
      <c r="J174" s="162" t="s">
        <v>1282</v>
      </c>
      <c r="K174" s="15" t="s">
        <v>116</v>
      </c>
      <c r="L174" s="15" t="s">
        <v>362</v>
      </c>
      <c r="M174" s="15" t="s">
        <v>31</v>
      </c>
      <c r="N174" s="15" t="s">
        <v>32</v>
      </c>
      <c r="O174" s="15" t="s">
        <v>35</v>
      </c>
      <c r="Q174" s="15" t="s">
        <v>121</v>
      </c>
      <c r="R174" s="166"/>
      <c r="S174" s="120"/>
      <c r="T174" s="69">
        <v>3000000.0</v>
      </c>
      <c r="U174" s="69"/>
      <c r="V174" s="132"/>
      <c r="W174" s="96" t="str">
        <f t="shared" si="125"/>
        <v/>
      </c>
      <c r="X174" s="98">
        <f t="shared" si="126"/>
        <v>3000000</v>
      </c>
      <c r="Y174" s="99" t="str">
        <f t="shared" si="127"/>
        <v>$2M - $4M</v>
      </c>
      <c r="Z174" s="15" t="s">
        <v>36</v>
      </c>
      <c r="AA174" s="15" t="s">
        <v>87</v>
      </c>
      <c r="AB174" s="15" t="s">
        <v>38</v>
      </c>
      <c r="AC174" s="15" t="s">
        <v>493</v>
      </c>
      <c r="AD174" s="15" t="s">
        <v>89</v>
      </c>
      <c r="AE174" s="15" t="s">
        <v>39</v>
      </c>
      <c r="AF174" s="15" t="s">
        <v>469</v>
      </c>
      <c r="AG174" s="69">
        <v>5.75E11</v>
      </c>
      <c r="AH174" s="97" t="str">
        <f t="shared" si="128"/>
        <v>$500B-$1T</v>
      </c>
      <c r="AI174" s="69">
        <v>5.75E11</v>
      </c>
      <c r="AJ174" s="97" t="str">
        <f t="shared" si="129"/>
        <v>$500B-$1T</v>
      </c>
      <c r="AK174" s="167">
        <v>0.07</v>
      </c>
      <c r="AL174" s="88" t="str">
        <f t="shared" si="130"/>
        <v>0%-10%</v>
      </c>
      <c r="AM174" s="15">
        <v>1.0</v>
      </c>
      <c r="AN174" s="15" t="s">
        <v>89</v>
      </c>
      <c r="AO174" s="15" t="s">
        <v>89</v>
      </c>
      <c r="AP174" s="15" t="s">
        <v>40</v>
      </c>
      <c r="AQ174" s="168"/>
      <c r="AR174" s="168"/>
      <c r="AS174" s="15" t="s">
        <v>469</v>
      </c>
      <c r="AT174" s="15" t="s">
        <v>469</v>
      </c>
      <c r="AU174" s="15" t="s">
        <v>469</v>
      </c>
      <c r="AV174" s="15" t="s">
        <v>469</v>
      </c>
      <c r="AW174" s="69">
        <v>0.0</v>
      </c>
      <c r="AX174" s="96" t="str">
        <f t="shared" si="131"/>
        <v>&lt; $10K</v>
      </c>
      <c r="AY174" s="69">
        <v>479.0</v>
      </c>
      <c r="AZ174" s="69">
        <v>0.0</v>
      </c>
      <c r="BA174" s="103" t="str">
        <f t="shared" si="132"/>
        <v>&lt; $10K</v>
      </c>
      <c r="BB174" s="103">
        <f t="shared" si="133"/>
        <v>1</v>
      </c>
      <c r="BC174" s="103" t="str">
        <f t="shared" si="134"/>
        <v>90% - 100%</v>
      </c>
      <c r="BD174" s="15" t="s">
        <v>41</v>
      </c>
      <c r="BF174" s="15" t="s">
        <v>469</v>
      </c>
      <c r="BG174" s="15">
        <v>0.0</v>
      </c>
      <c r="BH174" s="15">
        <v>1.0</v>
      </c>
      <c r="BI174" s="15" t="s">
        <v>469</v>
      </c>
      <c r="BJ174" s="15" t="s">
        <v>469</v>
      </c>
      <c r="BK174" s="15" t="s">
        <v>469</v>
      </c>
      <c r="BL174" s="15" t="s">
        <v>469</v>
      </c>
      <c r="BM174" s="15">
        <v>0.0</v>
      </c>
      <c r="BN174" s="15">
        <v>1.0</v>
      </c>
      <c r="BO174" s="15">
        <v>0.0</v>
      </c>
      <c r="BP174" s="15">
        <v>0.0</v>
      </c>
      <c r="BQ174" s="108"/>
      <c r="BR174" s="15">
        <v>0.0</v>
      </c>
      <c r="BS174" s="15">
        <v>2.0</v>
      </c>
      <c r="BT174" s="15">
        <v>1.0</v>
      </c>
      <c r="BU174" s="15">
        <v>42.0</v>
      </c>
      <c r="BV174" s="15" t="s">
        <v>469</v>
      </c>
      <c r="BW174" s="108"/>
      <c r="CC174" s="108"/>
      <c r="CI174" s="108"/>
      <c r="CO174" s="108"/>
      <c r="CU174" s="108"/>
      <c r="DA174" s="108"/>
      <c r="DG174" s="108"/>
      <c r="DM174" s="108"/>
      <c r="DS174" s="108"/>
      <c r="DT174" s="108"/>
      <c r="DU174" s="108"/>
      <c r="DW174" s="109"/>
      <c r="DX174" s="110">
        <f t="shared" si="13"/>
        <v>0</v>
      </c>
      <c r="DY174" s="111">
        <f t="shared" ref="DY174:DZ174" si="407">sum(BS174,BY174,CE174,CK174,CQ174,CW174,DC174,DI174,DO174)</f>
        <v>2</v>
      </c>
      <c r="DZ174" s="111">
        <f t="shared" si="407"/>
        <v>1</v>
      </c>
      <c r="EA174" s="110">
        <f t="shared" si="15"/>
        <v>42</v>
      </c>
      <c r="EB174" s="99" t="str">
        <f t="shared" si="16"/>
        <v>35 - 54</v>
      </c>
      <c r="EC174" s="112"/>
      <c r="ED174" s="113">
        <f t="shared" si="17"/>
        <v>4.6</v>
      </c>
      <c r="EE174" s="114" t="str">
        <f>IF(V174 &lt;&gt; "", 1+((V174-MIN(discount_rates))*(4)/(MAX(discount_rates) - MIN(discount_rates))), "")</f>
        <v/>
      </c>
      <c r="EF174" s="114" t="str">
        <f>IF(Q174="Debt", (1+((S174-MIN(interest_rates))*(4)/(MAX(interest_rates) - MIN(interest_rates)))), "")</f>
        <v/>
      </c>
      <c r="EG174" s="114" t="str">
        <f>IF(OR(Q174="Revenue Share", Q174="Profit Share"), (1+((R174-MIN(return_mutiples))*(4)/(MAX(return_mutiples) - MIN(return_mutiples)))), "")</f>
        <v/>
      </c>
      <c r="EH174" s="115">
        <f t="shared" si="18"/>
        <v>4.6</v>
      </c>
      <c r="EI174" s="116" t="str">
        <f t="shared" si="19"/>
        <v>Equity - Common</v>
      </c>
      <c r="EJ174" s="117">
        <f t="shared" si="20"/>
        <v>0.3287671233</v>
      </c>
      <c r="EK174" s="116" t="str">
        <f t="shared" si="21"/>
        <v>Early</v>
      </c>
      <c r="EL174" s="112"/>
      <c r="EM174" s="118">
        <f t="shared" si="22"/>
        <v>4.7</v>
      </c>
      <c r="EN174" s="118">
        <f t="shared" si="23"/>
        <v>1.7</v>
      </c>
      <c r="EO174" s="119">
        <f t="shared" si="24"/>
        <v>6.4</v>
      </c>
      <c r="EP174" s="115">
        <f>1+((EO174-MIN(market_ratings_sums))*(4)/(MAX(market_ratings_sums) - MIN(market_ratings_sums)))</f>
        <v>3.596491228</v>
      </c>
      <c r="EQ174" s="116" t="str">
        <f t="shared" si="25"/>
        <v>No</v>
      </c>
      <c r="ER174" s="112"/>
      <c r="ES174" s="123">
        <f>1+((DX174-MIN(industry_experiences))*(4)/(MAX(industry_experiences) - MIN(industry_experiences)))</f>
        <v>1</v>
      </c>
      <c r="ET174" s="123">
        <f>1+((DY174-MIN(previous_startups))*(4)/(MAX(previous_startups) - MIN(previous_startups)))</f>
        <v>1.888888889</v>
      </c>
      <c r="EU174" s="123">
        <f>1+((DZ174-MIN(exits))*(4)/(MAX(exits) - MIN(exits)))</f>
        <v>2</v>
      </c>
      <c r="EV174" s="119">
        <f t="shared" si="26"/>
        <v>4.888888889</v>
      </c>
      <c r="EW174" s="124">
        <f>1+((EV174-MIN(team_ratings_sums))*(4)/(MAX(team_ratings_sums) - MIN(team_ratings_sums)))</f>
        <v>2.034782609</v>
      </c>
      <c r="EX174" s="116" t="str">
        <f t="shared" si="27"/>
        <v>35 - 54</v>
      </c>
      <c r="EY174" s="125">
        <f t="shared" si="28"/>
        <v>0.6849315068</v>
      </c>
      <c r="EZ174" s="116">
        <f t="shared" si="29"/>
        <v>1</v>
      </c>
      <c r="FA174" s="125">
        <f t="shared" si="30"/>
        <v>0.4383561644</v>
      </c>
      <c r="FB174" s="116">
        <f t="shared" si="31"/>
        <v>1</v>
      </c>
      <c r="FC174" s="125">
        <f t="shared" si="32"/>
        <v>0.08219178082</v>
      </c>
      <c r="FD174" s="116" t="str">
        <f t="shared" si="33"/>
        <v>No</v>
      </c>
      <c r="FE174" s="125">
        <f t="shared" si="34"/>
        <v>0.7534246575</v>
      </c>
      <c r="FF174" s="116" t="str">
        <f t="shared" ref="FF174:FH174" si="408">BJ174</f>
        <v>No</v>
      </c>
      <c r="FG174" s="116" t="str">
        <f t="shared" si="408"/>
        <v>No</v>
      </c>
      <c r="FH174" s="116" t="str">
        <f t="shared" si="408"/>
        <v>No</v>
      </c>
      <c r="FI174" s="112"/>
      <c r="FJ174" s="116" t="str">
        <f t="shared" si="36"/>
        <v>Transactional</v>
      </c>
      <c r="FK174" s="125">
        <f t="shared" si="37"/>
        <v>0.602739726</v>
      </c>
      <c r="FL174" s="116" t="str">
        <f t="shared" si="38"/>
        <v>B2C</v>
      </c>
      <c r="FM174" s="125">
        <f t="shared" si="39"/>
        <v>0.397260274</v>
      </c>
      <c r="FN174" s="116" t="str">
        <f t="shared" si="40"/>
        <v>Low</v>
      </c>
      <c r="FO174" s="125">
        <f t="shared" si="41"/>
        <v>0.4383561644</v>
      </c>
      <c r="FP174" s="116" t="str">
        <f t="shared" si="42"/>
        <v>High</v>
      </c>
      <c r="FQ174" s="125">
        <f t="shared" si="43"/>
        <v>0.6438356164</v>
      </c>
      <c r="FR174" s="112"/>
      <c r="FS174" s="123">
        <f t="shared" si="44"/>
        <v>1</v>
      </c>
      <c r="FT174" s="123">
        <f t="shared" si="45"/>
        <v>1</v>
      </c>
      <c r="FU174" s="123">
        <f t="shared" si="46"/>
        <v>1</v>
      </c>
      <c r="FV174" s="123">
        <f t="shared" si="47"/>
        <v>5</v>
      </c>
      <c r="FW174" s="119">
        <f t="shared" si="48"/>
        <v>8</v>
      </c>
      <c r="FX174" s="115">
        <f>1+((FW174-MIN(performance_ratings_sums))*(4)/(MAX(performance_ratings_sums) - MIN(performance_ratings_sums)))</f>
        <v>1.485981308</v>
      </c>
      <c r="FY174" s="116" t="str">
        <f t="shared" si="49"/>
        <v>Pre-Product</v>
      </c>
      <c r="FZ174" s="126">
        <f t="shared" si="50"/>
        <v>0.2328767123</v>
      </c>
      <c r="GA174" s="112"/>
      <c r="GB174" s="127">
        <f t="shared" si="51"/>
        <v>1</v>
      </c>
      <c r="GC174" s="116" t="str">
        <f t="shared" si="52"/>
        <v>No</v>
      </c>
      <c r="GD174" s="126">
        <f t="shared" si="53"/>
        <v>0.7671232877</v>
      </c>
      <c r="GE174" s="126" t="str">
        <f t="shared" si="54"/>
        <v/>
      </c>
      <c r="GF174" s="126">
        <f t="shared" si="55"/>
        <v>0</v>
      </c>
      <c r="GG174" s="126" t="str">
        <f t="shared" si="56"/>
        <v/>
      </c>
      <c r="GH174" s="126">
        <f t="shared" si="57"/>
        <v>0</v>
      </c>
      <c r="GI174" s="112"/>
      <c r="GJ174" s="116"/>
      <c r="GK174" s="119">
        <f t="shared" si="58"/>
        <v>12.71725515</v>
      </c>
      <c r="GL174" s="128">
        <f>1+((GK174-MIN(ratings_sums))*(4)/(MAX(ratings_sums) - MIN(ratings_sums)))</f>
        <v>2.694758356</v>
      </c>
    </row>
    <row r="175" ht="15.75" customHeight="1">
      <c r="A175" s="161" t="s">
        <v>1128</v>
      </c>
      <c r="B175" s="15">
        <v>1716903.0</v>
      </c>
      <c r="C175" s="162" t="s">
        <v>1286</v>
      </c>
      <c r="D175" s="163">
        <v>43768.407638888886</v>
      </c>
      <c r="E175" s="15" t="s">
        <v>381</v>
      </c>
      <c r="F175" s="164" t="s">
        <v>1287</v>
      </c>
      <c r="G175" s="164" t="s">
        <v>1288</v>
      </c>
      <c r="H175" s="173">
        <v>43858.0</v>
      </c>
      <c r="I175" s="162" t="s">
        <v>1289</v>
      </c>
      <c r="J175" s="162" t="s">
        <v>1286</v>
      </c>
      <c r="K175" s="15" t="s">
        <v>419</v>
      </c>
      <c r="L175" s="15" t="s">
        <v>316</v>
      </c>
      <c r="M175" s="15" t="s">
        <v>31</v>
      </c>
      <c r="N175" s="15" t="s">
        <v>82</v>
      </c>
      <c r="O175" s="15" t="s">
        <v>35</v>
      </c>
      <c r="Q175" s="15" t="s">
        <v>84</v>
      </c>
      <c r="R175" s="166"/>
      <c r="S175" s="120"/>
      <c r="T175" s="69"/>
      <c r="U175" s="69">
        <v>1.2E7</v>
      </c>
      <c r="V175" s="132">
        <v>0.2</v>
      </c>
      <c r="W175" s="96">
        <f t="shared" si="125"/>
        <v>9600000</v>
      </c>
      <c r="X175" s="98">
        <f t="shared" si="126"/>
        <v>9600000</v>
      </c>
      <c r="Y175" s="99" t="str">
        <f t="shared" si="127"/>
        <v>$8M - $10M</v>
      </c>
      <c r="Z175" s="15" t="s">
        <v>36</v>
      </c>
      <c r="AA175" s="15" t="s">
        <v>87</v>
      </c>
      <c r="AB175" s="15" t="s">
        <v>88</v>
      </c>
      <c r="AC175" s="15" t="s">
        <v>493</v>
      </c>
      <c r="AD175" s="15" t="s">
        <v>89</v>
      </c>
      <c r="AE175" s="15" t="s">
        <v>89</v>
      </c>
      <c r="AF175" s="15" t="s">
        <v>469</v>
      </c>
      <c r="AG175" s="69">
        <v>9.612E10</v>
      </c>
      <c r="AH175" s="97" t="str">
        <f t="shared" si="128"/>
        <v>$50B-$100B</v>
      </c>
      <c r="AI175" s="69">
        <v>9.612E10</v>
      </c>
      <c r="AJ175" s="97" t="str">
        <f t="shared" si="129"/>
        <v>$50B-$100B</v>
      </c>
      <c r="AK175" s="167">
        <v>0.12</v>
      </c>
      <c r="AL175" s="88" t="str">
        <f t="shared" si="130"/>
        <v>10%-20%</v>
      </c>
      <c r="AM175" s="15">
        <v>10.0</v>
      </c>
      <c r="AN175" s="15" t="s">
        <v>89</v>
      </c>
      <c r="AO175" s="15" t="s">
        <v>89</v>
      </c>
      <c r="AP175" s="15" t="s">
        <v>40</v>
      </c>
      <c r="AQ175" s="168"/>
      <c r="AR175" s="168"/>
      <c r="AS175" s="15" t="s">
        <v>469</v>
      </c>
      <c r="AT175" s="15" t="s">
        <v>469</v>
      </c>
      <c r="AU175" s="15" t="s">
        <v>493</v>
      </c>
      <c r="AV175" s="15" t="s">
        <v>493</v>
      </c>
      <c r="AW175" s="69">
        <v>0.0</v>
      </c>
      <c r="AX175" s="96" t="str">
        <f t="shared" si="131"/>
        <v>&lt; $10K</v>
      </c>
      <c r="AY175" s="69">
        <v>76711.0</v>
      </c>
      <c r="AZ175" s="69">
        <v>1200000.0</v>
      </c>
      <c r="BA175" s="103" t="str">
        <f t="shared" si="132"/>
        <v>$1M - $2M</v>
      </c>
      <c r="BB175" s="103">
        <f t="shared" si="133"/>
        <v>0.06392583333</v>
      </c>
      <c r="BC175" s="103" t="str">
        <f t="shared" si="134"/>
        <v>&lt; 10%</v>
      </c>
      <c r="BD175" s="15" t="s">
        <v>91</v>
      </c>
      <c r="BF175" s="15" t="s">
        <v>493</v>
      </c>
      <c r="BG175" s="15">
        <v>1.0</v>
      </c>
      <c r="BH175" s="15">
        <v>2.0</v>
      </c>
      <c r="BI175" s="15" t="s">
        <v>469</v>
      </c>
      <c r="BJ175" s="15" t="s">
        <v>469</v>
      </c>
      <c r="BK175" s="15" t="s">
        <v>469</v>
      </c>
      <c r="BL175" s="15" t="s">
        <v>469</v>
      </c>
      <c r="BM175" s="15">
        <v>2.0</v>
      </c>
      <c r="BN175" s="15">
        <v>6.0</v>
      </c>
      <c r="BO175" s="15">
        <v>0.0</v>
      </c>
      <c r="BP175" s="15">
        <v>0.0</v>
      </c>
      <c r="BQ175" s="108"/>
      <c r="BR175" s="15">
        <v>0.0</v>
      </c>
      <c r="BS175" s="15">
        <v>2.0</v>
      </c>
      <c r="BT175" s="15">
        <v>1.0</v>
      </c>
      <c r="BU175" s="15">
        <v>45.0</v>
      </c>
      <c r="BV175" s="15" t="s">
        <v>469</v>
      </c>
      <c r="BW175" s="108"/>
      <c r="BX175" s="15">
        <v>0.0</v>
      </c>
      <c r="BY175" s="15">
        <v>0.0</v>
      </c>
      <c r="BZ175" s="15">
        <v>0.0</v>
      </c>
      <c r="CA175" s="15">
        <v>29.0</v>
      </c>
      <c r="CB175" s="15" t="s">
        <v>469</v>
      </c>
      <c r="CC175" s="108"/>
      <c r="CI175" s="108"/>
      <c r="CO175" s="108"/>
      <c r="CU175" s="108"/>
      <c r="DA175" s="108"/>
      <c r="DG175" s="108"/>
      <c r="DM175" s="108"/>
      <c r="DS175" s="108"/>
      <c r="DT175" s="108"/>
      <c r="DU175" s="108"/>
      <c r="DW175" s="109"/>
      <c r="DX175" s="110">
        <f t="shared" si="13"/>
        <v>0</v>
      </c>
      <c r="DY175" s="111">
        <f t="shared" ref="DY175:DZ175" si="409">sum(BS175,BY175,CE175,CK175,CQ175,CW175,DC175,DI175,DO175)</f>
        <v>2</v>
      </c>
      <c r="DZ175" s="111">
        <f t="shared" si="409"/>
        <v>1</v>
      </c>
      <c r="EA175" s="110">
        <f t="shared" si="15"/>
        <v>37</v>
      </c>
      <c r="EB175" s="99" t="str">
        <f t="shared" si="16"/>
        <v>35 - 54</v>
      </c>
      <c r="EC175" s="112"/>
      <c r="ED175" s="113">
        <f t="shared" si="17"/>
        <v>4</v>
      </c>
      <c r="EE175" s="114">
        <f>IF(V175 &lt;&gt; "", 1+((V175-MIN(discount_rates))*(4)/(MAX(discount_rates) - MIN(discount_rates))), "")</f>
        <v>3.105263158</v>
      </c>
      <c r="EF175" s="114" t="str">
        <f>IF(Q175="Debt", (1+((S175-MIN(interest_rates))*(4)/(MAX(interest_rates) - MIN(interest_rates)))), "")</f>
        <v/>
      </c>
      <c r="EG175" s="114" t="str">
        <f>IF(OR(Q175="Revenue Share", Q175="Profit Share"), (1+((R175-MIN(return_mutiples))*(4)/(MAX(return_mutiples) - MIN(return_mutiples)))), "")</f>
        <v/>
      </c>
      <c r="EH175" s="115">
        <f t="shared" si="18"/>
        <v>4</v>
      </c>
      <c r="EI175" s="116" t="str">
        <f t="shared" si="19"/>
        <v>Convertible Note</v>
      </c>
      <c r="EJ175" s="117">
        <f t="shared" si="20"/>
        <v>0.1232876712</v>
      </c>
      <c r="EK175" s="116" t="str">
        <f t="shared" si="21"/>
        <v>Early</v>
      </c>
      <c r="EL175" s="112"/>
      <c r="EM175" s="118">
        <f t="shared" si="22"/>
        <v>3.9</v>
      </c>
      <c r="EN175" s="118">
        <f t="shared" si="23"/>
        <v>2.3</v>
      </c>
      <c r="EO175" s="119">
        <f t="shared" si="24"/>
        <v>6.2</v>
      </c>
      <c r="EP175" s="115">
        <f>1+((EO175-MIN(market_ratings_sums))*(4)/(MAX(market_ratings_sums) - MIN(market_ratings_sums)))</f>
        <v>3.456140351</v>
      </c>
      <c r="EQ175" s="116" t="str">
        <f t="shared" si="25"/>
        <v>No</v>
      </c>
      <c r="ER175" s="112"/>
      <c r="ES175" s="123">
        <f>1+((DX175-MIN(industry_experiences))*(4)/(MAX(industry_experiences) - MIN(industry_experiences)))</f>
        <v>1</v>
      </c>
      <c r="ET175" s="123">
        <f>1+((DY175-MIN(previous_startups))*(4)/(MAX(previous_startups) - MIN(previous_startups)))</f>
        <v>1.888888889</v>
      </c>
      <c r="EU175" s="123">
        <f>1+((DZ175-MIN(exits))*(4)/(MAX(exits) - MIN(exits)))</f>
        <v>2</v>
      </c>
      <c r="EV175" s="119">
        <f t="shared" si="26"/>
        <v>4.888888889</v>
      </c>
      <c r="EW175" s="124">
        <f>1+((EV175-MIN(team_ratings_sums))*(4)/(MAX(team_ratings_sums) - MIN(team_ratings_sums)))</f>
        <v>2.034782609</v>
      </c>
      <c r="EX175" s="116" t="str">
        <f t="shared" si="27"/>
        <v>35 - 54</v>
      </c>
      <c r="EY175" s="125">
        <f t="shared" si="28"/>
        <v>0.6849315068</v>
      </c>
      <c r="EZ175" s="116">
        <f t="shared" si="29"/>
        <v>2</v>
      </c>
      <c r="FA175" s="125">
        <f t="shared" si="30"/>
        <v>0.4520547945</v>
      </c>
      <c r="FB175" s="116">
        <f t="shared" si="31"/>
        <v>6</v>
      </c>
      <c r="FC175" s="125">
        <f t="shared" si="32"/>
        <v>0.06849315068</v>
      </c>
      <c r="FD175" s="116" t="str">
        <f t="shared" si="33"/>
        <v>No</v>
      </c>
      <c r="FE175" s="125">
        <f t="shared" si="34"/>
        <v>0.7534246575</v>
      </c>
      <c r="FF175" s="116" t="str">
        <f t="shared" ref="FF175:FH175" si="410">BJ175</f>
        <v>No</v>
      </c>
      <c r="FG175" s="116" t="str">
        <f t="shared" si="410"/>
        <v>No</v>
      </c>
      <c r="FH175" s="116" t="str">
        <f t="shared" si="410"/>
        <v>No</v>
      </c>
      <c r="FI175" s="112"/>
      <c r="FJ175" s="116" t="str">
        <f t="shared" si="36"/>
        <v>Transactional</v>
      </c>
      <c r="FK175" s="125">
        <f t="shared" si="37"/>
        <v>0.602739726</v>
      </c>
      <c r="FL175" s="116" t="str">
        <f t="shared" si="38"/>
        <v>B2C</v>
      </c>
      <c r="FM175" s="125">
        <f t="shared" si="39"/>
        <v>0.397260274</v>
      </c>
      <c r="FN175" s="116" t="str">
        <f t="shared" si="40"/>
        <v>Low</v>
      </c>
      <c r="FO175" s="125">
        <f t="shared" si="41"/>
        <v>0.4383561644</v>
      </c>
      <c r="FP175" s="116" t="str">
        <f t="shared" si="42"/>
        <v>Low</v>
      </c>
      <c r="FQ175" s="125">
        <f t="shared" si="43"/>
        <v>0.3561643836</v>
      </c>
      <c r="FR175" s="112"/>
      <c r="FS175" s="123">
        <f t="shared" si="44"/>
        <v>5</v>
      </c>
      <c r="FT175" s="123">
        <f t="shared" si="45"/>
        <v>1</v>
      </c>
      <c r="FU175" s="123">
        <f t="shared" si="46"/>
        <v>5</v>
      </c>
      <c r="FV175" s="123">
        <f t="shared" si="47"/>
        <v>2.8</v>
      </c>
      <c r="FW175" s="119">
        <f t="shared" si="48"/>
        <v>13.8</v>
      </c>
      <c r="FX175" s="115">
        <f>1+((FW175-MIN(performance_ratings_sums))*(4)/(MAX(performance_ratings_sums) - MIN(performance_ratings_sums)))</f>
        <v>3.654205607</v>
      </c>
      <c r="FY175" s="116" t="str">
        <f t="shared" si="49"/>
        <v>Pre-Revenue</v>
      </c>
      <c r="FZ175" s="126">
        <f t="shared" si="50"/>
        <v>0.2054794521</v>
      </c>
      <c r="GA175" s="112"/>
      <c r="GB175" s="127">
        <f t="shared" si="51"/>
        <v>1</v>
      </c>
      <c r="GC175" s="116" t="str">
        <f t="shared" si="52"/>
        <v>No</v>
      </c>
      <c r="GD175" s="126">
        <f t="shared" si="53"/>
        <v>0.7671232877</v>
      </c>
      <c r="GE175" s="126" t="str">
        <f t="shared" si="54"/>
        <v/>
      </c>
      <c r="GF175" s="126">
        <f t="shared" si="55"/>
        <v>0</v>
      </c>
      <c r="GG175" s="126" t="str">
        <f t="shared" si="56"/>
        <v/>
      </c>
      <c r="GH175" s="126">
        <f t="shared" si="57"/>
        <v>0</v>
      </c>
      <c r="GI175" s="112"/>
      <c r="GJ175" s="116"/>
      <c r="GK175" s="119">
        <f t="shared" si="58"/>
        <v>14.14512857</v>
      </c>
      <c r="GL175" s="128">
        <f>1+((GK175-MIN(ratings_sums))*(4)/(MAX(ratings_sums) - MIN(ratings_sums)))</f>
        <v>3.13288699</v>
      </c>
    </row>
    <row r="176" ht="15.75" customHeight="1">
      <c r="A176" s="161" t="s">
        <v>1128</v>
      </c>
      <c r="B176" s="15">
        <v>1716903.0</v>
      </c>
      <c r="C176" s="162" t="s">
        <v>1290</v>
      </c>
      <c r="D176" s="163">
        <v>43768.410416666666</v>
      </c>
      <c r="E176" s="15" t="s">
        <v>381</v>
      </c>
      <c r="F176" s="164" t="s">
        <v>1291</v>
      </c>
      <c r="G176" s="164" t="s">
        <v>1292</v>
      </c>
      <c r="H176" s="173">
        <v>43859.0</v>
      </c>
      <c r="I176" s="162" t="s">
        <v>1293</v>
      </c>
      <c r="J176" s="162" t="s">
        <v>1290</v>
      </c>
      <c r="K176" s="15" t="s">
        <v>436</v>
      </c>
      <c r="L176" s="15" t="s">
        <v>390</v>
      </c>
      <c r="M176" s="15" t="s">
        <v>31</v>
      </c>
      <c r="N176" s="15" t="s">
        <v>32</v>
      </c>
      <c r="O176" s="15" t="s">
        <v>35</v>
      </c>
      <c r="Q176" s="15" t="s">
        <v>121</v>
      </c>
      <c r="R176" s="166"/>
      <c r="S176" s="120"/>
      <c r="T176" s="69">
        <v>1730000.0</v>
      </c>
      <c r="U176" s="69"/>
      <c r="V176" s="132"/>
      <c r="W176" s="96" t="str">
        <f t="shared" si="125"/>
        <v/>
      </c>
      <c r="X176" s="98">
        <f t="shared" si="126"/>
        <v>1730000</v>
      </c>
      <c r="Y176" s="99" t="str">
        <f t="shared" si="127"/>
        <v>$1M - $2M</v>
      </c>
      <c r="Z176" s="15" t="s">
        <v>36</v>
      </c>
      <c r="AA176" s="15" t="s">
        <v>87</v>
      </c>
      <c r="AB176" s="15" t="s">
        <v>38</v>
      </c>
      <c r="AC176" s="15" t="s">
        <v>493</v>
      </c>
      <c r="AD176" s="15" t="s">
        <v>89</v>
      </c>
      <c r="AE176" s="15" t="s">
        <v>39</v>
      </c>
      <c r="AF176" s="15" t="s">
        <v>469</v>
      </c>
      <c r="AG176" s="69">
        <v>1.01E11</v>
      </c>
      <c r="AH176" s="97" t="str">
        <f t="shared" si="128"/>
        <v>$100B-$250B</v>
      </c>
      <c r="AI176" s="69">
        <v>1.14E10</v>
      </c>
      <c r="AJ176" s="97" t="str">
        <f t="shared" si="129"/>
        <v>$10B-$25B</v>
      </c>
      <c r="AK176" s="167">
        <v>0.02</v>
      </c>
      <c r="AL176" s="88" t="str">
        <f t="shared" si="130"/>
        <v>0%-10%</v>
      </c>
      <c r="AM176" s="15">
        <v>24.0</v>
      </c>
      <c r="AN176" s="15" t="s">
        <v>89</v>
      </c>
      <c r="AO176" s="15" t="s">
        <v>89</v>
      </c>
      <c r="AP176" s="15" t="s">
        <v>40</v>
      </c>
      <c r="AQ176" s="168"/>
      <c r="AR176" s="168"/>
      <c r="AS176" s="15" t="s">
        <v>469</v>
      </c>
      <c r="AT176" s="15" t="s">
        <v>469</v>
      </c>
      <c r="AU176" s="15" t="s">
        <v>469</v>
      </c>
      <c r="AV176" s="15" t="s">
        <v>469</v>
      </c>
      <c r="AW176" s="69">
        <v>0.0</v>
      </c>
      <c r="AX176" s="96" t="str">
        <f t="shared" si="131"/>
        <v>&lt; $10K</v>
      </c>
      <c r="AY176" s="69">
        <v>0.0</v>
      </c>
      <c r="AZ176" s="69">
        <v>0.0</v>
      </c>
      <c r="BA176" s="103" t="str">
        <f t="shared" si="132"/>
        <v>&lt; $10K</v>
      </c>
      <c r="BB176" s="103">
        <f t="shared" si="133"/>
        <v>1</v>
      </c>
      <c r="BC176" s="103" t="str">
        <f t="shared" si="134"/>
        <v>90% - 100%</v>
      </c>
      <c r="BD176" s="15" t="s">
        <v>41</v>
      </c>
      <c r="BF176" s="15" t="s">
        <v>469</v>
      </c>
      <c r="BG176" s="15">
        <v>0.0</v>
      </c>
      <c r="BH176" s="15">
        <v>2.0</v>
      </c>
      <c r="BI176" s="15" t="s">
        <v>493</v>
      </c>
      <c r="BJ176" s="15" t="s">
        <v>469</v>
      </c>
      <c r="BK176" s="15" t="s">
        <v>493</v>
      </c>
      <c r="BL176" s="15" t="s">
        <v>469</v>
      </c>
      <c r="BM176" s="15">
        <v>5.0</v>
      </c>
      <c r="BN176" s="15">
        <v>3.0</v>
      </c>
      <c r="BO176" s="15">
        <v>1.0</v>
      </c>
      <c r="BP176" s="15">
        <v>0.0</v>
      </c>
      <c r="BQ176" s="108"/>
      <c r="BR176" s="15">
        <v>0.0</v>
      </c>
      <c r="BS176" s="15">
        <v>1.0</v>
      </c>
      <c r="BT176" s="15">
        <v>0.0</v>
      </c>
      <c r="BU176" s="15">
        <v>42.0</v>
      </c>
      <c r="BV176" s="15" t="s">
        <v>469</v>
      </c>
      <c r="BW176" s="108"/>
      <c r="BX176" s="15">
        <v>12.0</v>
      </c>
      <c r="BY176" s="15">
        <v>0.0</v>
      </c>
      <c r="BZ176" s="15">
        <v>0.0</v>
      </c>
      <c r="CA176" s="15">
        <v>48.0</v>
      </c>
      <c r="CB176" s="15" t="s">
        <v>469</v>
      </c>
      <c r="CC176" s="108"/>
      <c r="CI176" s="108"/>
      <c r="CO176" s="108"/>
      <c r="CU176" s="108"/>
      <c r="DA176" s="108"/>
      <c r="DG176" s="108"/>
      <c r="DM176" s="108"/>
      <c r="DS176" s="108"/>
      <c r="DT176" s="108"/>
      <c r="DU176" s="108"/>
      <c r="DW176" s="109"/>
      <c r="DX176" s="110">
        <f t="shared" si="13"/>
        <v>6</v>
      </c>
      <c r="DY176" s="111">
        <f t="shared" ref="DY176:DZ176" si="411">sum(BS176,BY176,CE176,CK176,CQ176,CW176,DC176,DI176,DO176)</f>
        <v>1</v>
      </c>
      <c r="DZ176" s="111">
        <f t="shared" si="411"/>
        <v>0</v>
      </c>
      <c r="EA176" s="110">
        <f t="shared" si="15"/>
        <v>45</v>
      </c>
      <c r="EB176" s="99" t="str">
        <f t="shared" si="16"/>
        <v>35 - 54</v>
      </c>
      <c r="EC176" s="112"/>
      <c r="ED176" s="113">
        <f t="shared" si="17"/>
        <v>4.8</v>
      </c>
      <c r="EE176" s="114" t="str">
        <f>IF(V176 &lt;&gt; "", 1+((V176-MIN(discount_rates))*(4)/(MAX(discount_rates) - MIN(discount_rates))), "")</f>
        <v/>
      </c>
      <c r="EF176" s="114" t="str">
        <f>IF(Q176="Debt", (1+((S176-MIN(interest_rates))*(4)/(MAX(interest_rates) - MIN(interest_rates)))), "")</f>
        <v/>
      </c>
      <c r="EG176" s="114" t="str">
        <f>IF(OR(Q176="Revenue Share", Q176="Profit Share"), (1+((R176-MIN(return_mutiples))*(4)/(MAX(return_mutiples) - MIN(return_mutiples)))), "")</f>
        <v/>
      </c>
      <c r="EH176" s="115">
        <f t="shared" si="18"/>
        <v>4.8</v>
      </c>
      <c r="EI176" s="116" t="str">
        <f t="shared" si="19"/>
        <v>Equity - Common</v>
      </c>
      <c r="EJ176" s="117">
        <f t="shared" si="20"/>
        <v>0.3287671233</v>
      </c>
      <c r="EK176" s="116" t="str">
        <f t="shared" si="21"/>
        <v>Early</v>
      </c>
      <c r="EL176" s="112"/>
      <c r="EM176" s="118">
        <f t="shared" si="22"/>
        <v>3.3</v>
      </c>
      <c r="EN176" s="118">
        <f t="shared" si="23"/>
        <v>1.7</v>
      </c>
      <c r="EO176" s="119">
        <f t="shared" si="24"/>
        <v>5</v>
      </c>
      <c r="EP176" s="115">
        <f>1+((EO176-MIN(market_ratings_sums))*(4)/(MAX(market_ratings_sums) - MIN(market_ratings_sums)))</f>
        <v>2.614035088</v>
      </c>
      <c r="EQ176" s="116" t="str">
        <f t="shared" si="25"/>
        <v>No</v>
      </c>
      <c r="ER176" s="112"/>
      <c r="ES176" s="123">
        <f>1+((DX176-MIN(industry_experiences))*(4)/(MAX(industry_experiences) - MIN(industry_experiences)))</f>
        <v>1.571428571</v>
      </c>
      <c r="ET176" s="123">
        <f>1+((DY176-MIN(previous_startups))*(4)/(MAX(previous_startups) - MIN(previous_startups)))</f>
        <v>1.444444444</v>
      </c>
      <c r="EU176" s="123">
        <f>1+((DZ176-MIN(exits))*(4)/(MAX(exits) - MIN(exits)))</f>
        <v>1</v>
      </c>
      <c r="EV176" s="119">
        <f t="shared" si="26"/>
        <v>4.015873016</v>
      </c>
      <c r="EW176" s="124">
        <f>1+((EV176-MIN(team_ratings_sums))*(4)/(MAX(team_ratings_sums) - MIN(team_ratings_sums)))</f>
        <v>1.556521739</v>
      </c>
      <c r="EX176" s="116" t="str">
        <f t="shared" si="27"/>
        <v>35 - 54</v>
      </c>
      <c r="EY176" s="125">
        <f t="shared" si="28"/>
        <v>0.6849315068</v>
      </c>
      <c r="EZ176" s="116">
        <f t="shared" si="29"/>
        <v>2</v>
      </c>
      <c r="FA176" s="125">
        <f t="shared" si="30"/>
        <v>0.4520547945</v>
      </c>
      <c r="FB176" s="116">
        <f t="shared" si="31"/>
        <v>3</v>
      </c>
      <c r="FC176" s="125">
        <f t="shared" si="32"/>
        <v>0.08219178082</v>
      </c>
      <c r="FD176" s="116" t="str">
        <f t="shared" si="33"/>
        <v>Yes</v>
      </c>
      <c r="FE176" s="125">
        <f t="shared" si="34"/>
        <v>0.2465753425</v>
      </c>
      <c r="FF176" s="116" t="str">
        <f t="shared" ref="FF176:FH176" si="412">BJ176</f>
        <v>No</v>
      </c>
      <c r="FG176" s="116" t="str">
        <f t="shared" si="412"/>
        <v>Yes</v>
      </c>
      <c r="FH176" s="116" t="str">
        <f t="shared" si="412"/>
        <v>No</v>
      </c>
      <c r="FI176" s="112"/>
      <c r="FJ176" s="116" t="str">
        <f t="shared" si="36"/>
        <v>Transactional</v>
      </c>
      <c r="FK176" s="125">
        <f t="shared" si="37"/>
        <v>0.602739726</v>
      </c>
      <c r="FL176" s="116" t="str">
        <f t="shared" si="38"/>
        <v>B2C</v>
      </c>
      <c r="FM176" s="125">
        <f t="shared" si="39"/>
        <v>0.397260274</v>
      </c>
      <c r="FN176" s="116" t="str">
        <f t="shared" si="40"/>
        <v>Low</v>
      </c>
      <c r="FO176" s="125">
        <f t="shared" si="41"/>
        <v>0.4383561644</v>
      </c>
      <c r="FP176" s="116" t="str">
        <f t="shared" si="42"/>
        <v>High</v>
      </c>
      <c r="FQ176" s="125">
        <f t="shared" si="43"/>
        <v>0.6438356164</v>
      </c>
      <c r="FR176" s="112"/>
      <c r="FS176" s="123">
        <f t="shared" si="44"/>
        <v>1</v>
      </c>
      <c r="FT176" s="123">
        <f t="shared" si="45"/>
        <v>1</v>
      </c>
      <c r="FU176" s="123">
        <f t="shared" si="46"/>
        <v>1</v>
      </c>
      <c r="FV176" s="123">
        <f t="shared" si="47"/>
        <v>5</v>
      </c>
      <c r="FW176" s="119">
        <f t="shared" si="48"/>
        <v>8</v>
      </c>
      <c r="FX176" s="115">
        <f>1+((FW176-MIN(performance_ratings_sums))*(4)/(MAX(performance_ratings_sums) - MIN(performance_ratings_sums)))</f>
        <v>1.485981308</v>
      </c>
      <c r="FY176" s="116" t="str">
        <f t="shared" si="49"/>
        <v>Pre-Product</v>
      </c>
      <c r="FZ176" s="126">
        <f t="shared" si="50"/>
        <v>0.2328767123</v>
      </c>
      <c r="GA176" s="112"/>
      <c r="GB176" s="127">
        <f t="shared" si="51"/>
        <v>1</v>
      </c>
      <c r="GC176" s="116" t="str">
        <f t="shared" si="52"/>
        <v>No</v>
      </c>
      <c r="GD176" s="126">
        <f t="shared" si="53"/>
        <v>0.7671232877</v>
      </c>
      <c r="GE176" s="126" t="str">
        <f t="shared" si="54"/>
        <v/>
      </c>
      <c r="GF176" s="126">
        <f t="shared" si="55"/>
        <v>0</v>
      </c>
      <c r="GG176" s="126" t="str">
        <f t="shared" si="56"/>
        <v/>
      </c>
      <c r="GH176" s="126">
        <f t="shared" si="57"/>
        <v>0</v>
      </c>
      <c r="GI176" s="112"/>
      <c r="GJ176" s="116"/>
      <c r="GK176" s="119">
        <f t="shared" si="58"/>
        <v>11.45653814</v>
      </c>
      <c r="GL176" s="128">
        <f>1+((GK176-MIN(ratings_sums))*(4)/(MAX(ratings_sums) - MIN(ratings_sums)))</f>
        <v>2.307919989</v>
      </c>
    </row>
    <row r="177" ht="15.75" customHeight="1">
      <c r="A177" s="161" t="s">
        <v>1128</v>
      </c>
      <c r="B177" s="15">
        <v>1689361.0</v>
      </c>
      <c r="C177" s="162" t="s">
        <v>1294</v>
      </c>
      <c r="D177" s="163">
        <v>43769.498611111114</v>
      </c>
      <c r="E177" s="15" t="s">
        <v>381</v>
      </c>
      <c r="F177" s="164" t="s">
        <v>1295</v>
      </c>
      <c r="G177" s="164" t="s">
        <v>1296</v>
      </c>
      <c r="H177" s="173">
        <v>43896.0</v>
      </c>
      <c r="I177" s="162" t="s">
        <v>1297</v>
      </c>
      <c r="J177" s="162" t="s">
        <v>1294</v>
      </c>
      <c r="K177" s="15" t="s">
        <v>531</v>
      </c>
      <c r="L177" s="15" t="s">
        <v>373</v>
      </c>
      <c r="M177" s="15" t="s">
        <v>31</v>
      </c>
      <c r="N177" s="15" t="s">
        <v>82</v>
      </c>
      <c r="O177" s="15" t="s">
        <v>35</v>
      </c>
      <c r="Q177" s="15" t="s">
        <v>121</v>
      </c>
      <c r="R177" s="166"/>
      <c r="S177" s="120"/>
      <c r="T177" s="69">
        <v>8930000.0</v>
      </c>
      <c r="U177" s="69"/>
      <c r="V177" s="132"/>
      <c r="W177" s="96" t="str">
        <f t="shared" si="125"/>
        <v/>
      </c>
      <c r="X177" s="98">
        <f t="shared" si="126"/>
        <v>8930000</v>
      </c>
      <c r="Y177" s="99" t="str">
        <f t="shared" si="127"/>
        <v>$8M - $10M</v>
      </c>
      <c r="Z177" s="15" t="s">
        <v>86</v>
      </c>
      <c r="AA177" s="15" t="s">
        <v>37</v>
      </c>
      <c r="AB177" s="15" t="s">
        <v>88</v>
      </c>
      <c r="AC177" s="15" t="s">
        <v>493</v>
      </c>
      <c r="AD177" s="15" t="s">
        <v>39</v>
      </c>
      <c r="AE177" s="15" t="s">
        <v>89</v>
      </c>
      <c r="AF177" s="15" t="s">
        <v>469</v>
      </c>
      <c r="AG177" s="69">
        <v>1.106E9</v>
      </c>
      <c r="AH177" s="97" t="str">
        <f t="shared" si="128"/>
        <v>$1B-$5B</v>
      </c>
      <c r="AI177" s="69">
        <v>1.106E9</v>
      </c>
      <c r="AJ177" s="97" t="str">
        <f t="shared" si="129"/>
        <v>$1B-$5B</v>
      </c>
      <c r="AK177" s="167">
        <v>0.14</v>
      </c>
      <c r="AL177" s="88" t="str">
        <f t="shared" si="130"/>
        <v>10%-20%</v>
      </c>
      <c r="AM177" s="15">
        <v>0.0</v>
      </c>
      <c r="AN177" s="15" t="s">
        <v>39</v>
      </c>
      <c r="AO177" s="15" t="s">
        <v>39</v>
      </c>
      <c r="AP177" s="15" t="s">
        <v>40</v>
      </c>
      <c r="AQ177" s="168"/>
      <c r="AR177" s="168"/>
      <c r="AS177" s="15" t="s">
        <v>493</v>
      </c>
      <c r="AT177" s="15" t="s">
        <v>493</v>
      </c>
      <c r="AU177" s="15" t="s">
        <v>469</v>
      </c>
      <c r="AV177" s="15" t="s">
        <v>469</v>
      </c>
      <c r="AW177" s="69">
        <v>0.0</v>
      </c>
      <c r="AX177" s="96" t="str">
        <f t="shared" si="131"/>
        <v>&lt; $10K</v>
      </c>
      <c r="AY177" s="69">
        <v>561.0</v>
      </c>
      <c r="AZ177" s="69">
        <v>360200.0</v>
      </c>
      <c r="BA177" s="103" t="str">
        <f t="shared" si="132"/>
        <v>$100K - $500K</v>
      </c>
      <c r="BB177" s="103">
        <f t="shared" si="133"/>
        <v>0.001557468073</v>
      </c>
      <c r="BC177" s="103" t="str">
        <f t="shared" si="134"/>
        <v>&lt; 10%</v>
      </c>
      <c r="BD177" s="15" t="s">
        <v>41</v>
      </c>
      <c r="BF177" s="15" t="s">
        <v>493</v>
      </c>
      <c r="BG177" s="15">
        <v>0.0</v>
      </c>
      <c r="BH177" s="15">
        <v>2.0</v>
      </c>
      <c r="BI177" s="15" t="s">
        <v>469</v>
      </c>
      <c r="BJ177" s="15" t="s">
        <v>493</v>
      </c>
      <c r="BK177" s="15" t="s">
        <v>469</v>
      </c>
      <c r="BL177" s="15" t="s">
        <v>469</v>
      </c>
      <c r="BM177" s="15">
        <v>1.0</v>
      </c>
      <c r="BN177" s="15">
        <v>6.0</v>
      </c>
      <c r="BO177" s="15">
        <v>6.0</v>
      </c>
      <c r="BP177" s="15">
        <v>0.0</v>
      </c>
      <c r="BQ177" s="108"/>
      <c r="BR177" s="15">
        <v>0.0</v>
      </c>
      <c r="BS177" s="15">
        <v>0.0</v>
      </c>
      <c r="BT177" s="15">
        <v>0.0</v>
      </c>
      <c r="BU177" s="15">
        <v>70.0</v>
      </c>
      <c r="BV177" s="15" t="s">
        <v>469</v>
      </c>
      <c r="BW177" s="108"/>
      <c r="BX177" s="15">
        <v>0.0</v>
      </c>
      <c r="BY177" s="15">
        <v>0.0</v>
      </c>
      <c r="BZ177" s="15">
        <v>0.0</v>
      </c>
      <c r="CA177" s="15">
        <v>52.0</v>
      </c>
      <c r="CB177" s="15" t="s">
        <v>469</v>
      </c>
      <c r="CC177" s="108"/>
      <c r="CI177" s="108"/>
      <c r="CO177" s="108"/>
      <c r="CU177" s="108"/>
      <c r="DA177" s="108"/>
      <c r="DG177" s="108"/>
      <c r="DM177" s="108"/>
      <c r="DS177" s="108"/>
      <c r="DT177" s="108"/>
      <c r="DU177" s="108"/>
      <c r="DW177" s="109"/>
      <c r="DX177" s="110">
        <f t="shared" si="13"/>
        <v>0</v>
      </c>
      <c r="DY177" s="111">
        <f t="shared" ref="DY177:DZ177" si="413">sum(BS177,BY177,CE177,CK177,CQ177,CW177,DC177,DI177,DO177)</f>
        <v>0</v>
      </c>
      <c r="DZ177" s="111">
        <f t="shared" si="413"/>
        <v>0</v>
      </c>
      <c r="EA177" s="110">
        <f t="shared" si="15"/>
        <v>61</v>
      </c>
      <c r="EB177" s="99" t="str">
        <f t="shared" si="16"/>
        <v>55+</v>
      </c>
      <c r="EC177" s="112"/>
      <c r="ED177" s="113">
        <f t="shared" si="17"/>
        <v>4</v>
      </c>
      <c r="EE177" s="114" t="str">
        <f>IF(V177 &lt;&gt; "", 1+((V177-MIN(discount_rates))*(4)/(MAX(discount_rates) - MIN(discount_rates))), "")</f>
        <v/>
      </c>
      <c r="EF177" s="114" t="str">
        <f>IF(Q177="Debt", (1+((S177-MIN(interest_rates))*(4)/(MAX(interest_rates) - MIN(interest_rates)))), "")</f>
        <v/>
      </c>
      <c r="EG177" s="114" t="str">
        <f>IF(OR(Q177="Revenue Share", Q177="Profit Share"), (1+((R177-MIN(return_mutiples))*(4)/(MAX(return_mutiples) - MIN(return_mutiples)))), "")</f>
        <v/>
      </c>
      <c r="EH177" s="115">
        <f t="shared" si="18"/>
        <v>4</v>
      </c>
      <c r="EI177" s="116" t="str">
        <f t="shared" si="19"/>
        <v>Equity - Common</v>
      </c>
      <c r="EJ177" s="117">
        <f t="shared" si="20"/>
        <v>0.3287671233</v>
      </c>
      <c r="EK177" s="116" t="str">
        <f t="shared" si="21"/>
        <v>Early</v>
      </c>
      <c r="EL177" s="112"/>
      <c r="EM177" s="118">
        <f t="shared" si="22"/>
        <v>2.7</v>
      </c>
      <c r="EN177" s="118">
        <f t="shared" si="23"/>
        <v>2.3</v>
      </c>
      <c r="EO177" s="119">
        <f t="shared" si="24"/>
        <v>5</v>
      </c>
      <c r="EP177" s="115">
        <f>1+((EO177-MIN(market_ratings_sums))*(4)/(MAX(market_ratings_sums) - MIN(market_ratings_sums)))</f>
        <v>2.614035088</v>
      </c>
      <c r="EQ177" s="116" t="str">
        <f t="shared" si="25"/>
        <v>Yes</v>
      </c>
      <c r="ER177" s="112"/>
      <c r="ES177" s="123">
        <f>1+((DX177-MIN(industry_experiences))*(4)/(MAX(industry_experiences) - MIN(industry_experiences)))</f>
        <v>1</v>
      </c>
      <c r="ET177" s="123">
        <f>1+((DY177-MIN(previous_startups))*(4)/(MAX(previous_startups) - MIN(previous_startups)))</f>
        <v>1</v>
      </c>
      <c r="EU177" s="123">
        <f>1+((DZ177-MIN(exits))*(4)/(MAX(exits) - MIN(exits)))</f>
        <v>1</v>
      </c>
      <c r="EV177" s="119">
        <f t="shared" si="26"/>
        <v>3</v>
      </c>
      <c r="EW177" s="124">
        <f>1+((EV177-MIN(team_ratings_sums))*(4)/(MAX(team_ratings_sums) - MIN(team_ratings_sums)))</f>
        <v>1</v>
      </c>
      <c r="EX177" s="116" t="str">
        <f t="shared" si="27"/>
        <v>55+</v>
      </c>
      <c r="EY177" s="125">
        <f t="shared" si="28"/>
        <v>0.1095890411</v>
      </c>
      <c r="EZ177" s="116">
        <f t="shared" si="29"/>
        <v>2</v>
      </c>
      <c r="FA177" s="125">
        <f t="shared" si="30"/>
        <v>0.4520547945</v>
      </c>
      <c r="FB177" s="116">
        <f t="shared" si="31"/>
        <v>6</v>
      </c>
      <c r="FC177" s="125">
        <f t="shared" si="32"/>
        <v>0.06849315068</v>
      </c>
      <c r="FD177" s="116" t="str">
        <f t="shared" si="33"/>
        <v>No</v>
      </c>
      <c r="FE177" s="125">
        <f t="shared" si="34"/>
        <v>0.7534246575</v>
      </c>
      <c r="FF177" s="116" t="str">
        <f t="shared" ref="FF177:FH177" si="414">BJ177</f>
        <v>Yes</v>
      </c>
      <c r="FG177" s="116" t="str">
        <f t="shared" si="414"/>
        <v>No</v>
      </c>
      <c r="FH177" s="116" t="str">
        <f t="shared" si="414"/>
        <v>No</v>
      </c>
      <c r="FI177" s="112"/>
      <c r="FJ177" s="116" t="str">
        <f t="shared" si="36"/>
        <v>Recurring</v>
      </c>
      <c r="FK177" s="125">
        <f t="shared" si="37"/>
        <v>0.397260274</v>
      </c>
      <c r="FL177" s="116" t="str">
        <f t="shared" si="38"/>
        <v>B2B</v>
      </c>
      <c r="FM177" s="125">
        <f t="shared" si="39"/>
        <v>0.2465753425</v>
      </c>
      <c r="FN177" s="116" t="str">
        <f t="shared" si="40"/>
        <v>High</v>
      </c>
      <c r="FO177" s="125">
        <f t="shared" si="41"/>
        <v>0.5616438356</v>
      </c>
      <c r="FP177" s="116" t="str">
        <f t="shared" si="42"/>
        <v>Low</v>
      </c>
      <c r="FQ177" s="125">
        <f t="shared" si="43"/>
        <v>0.3561643836</v>
      </c>
      <c r="FR177" s="112"/>
      <c r="FS177" s="123">
        <f t="shared" si="44"/>
        <v>1</v>
      </c>
      <c r="FT177" s="123">
        <f t="shared" si="45"/>
        <v>1</v>
      </c>
      <c r="FU177" s="123">
        <f t="shared" si="46"/>
        <v>5</v>
      </c>
      <c r="FV177" s="123">
        <f t="shared" si="47"/>
        <v>3.7</v>
      </c>
      <c r="FW177" s="119">
        <f t="shared" si="48"/>
        <v>10.7</v>
      </c>
      <c r="FX177" s="115">
        <f>1+((FW177-MIN(performance_ratings_sums))*(4)/(MAX(performance_ratings_sums) - MIN(performance_ratings_sums)))</f>
        <v>2.495327103</v>
      </c>
      <c r="FY177" s="116" t="str">
        <f t="shared" si="49"/>
        <v>Pre-Product</v>
      </c>
      <c r="FZ177" s="126">
        <f t="shared" si="50"/>
        <v>0.2328767123</v>
      </c>
      <c r="GA177" s="112"/>
      <c r="GB177" s="127">
        <f t="shared" si="51"/>
        <v>5</v>
      </c>
      <c r="GC177" s="116" t="str">
        <f t="shared" si="52"/>
        <v>Yes</v>
      </c>
      <c r="GD177" s="126">
        <f t="shared" si="53"/>
        <v>0.2328767123</v>
      </c>
      <c r="GE177" s="126" t="str">
        <f t="shared" si="54"/>
        <v/>
      </c>
      <c r="GF177" s="126">
        <f t="shared" si="55"/>
        <v>0</v>
      </c>
      <c r="GG177" s="126" t="str">
        <f t="shared" si="56"/>
        <v/>
      </c>
      <c r="GH177" s="126">
        <f t="shared" si="57"/>
        <v>0</v>
      </c>
      <c r="GI177" s="112"/>
      <c r="GJ177" s="116"/>
      <c r="GK177" s="119">
        <f t="shared" si="58"/>
        <v>15.10936219</v>
      </c>
      <c r="GL177" s="128">
        <f>1+((GK177-MIN(ratings_sums))*(4)/(MAX(ratings_sums) - MIN(ratings_sums)))</f>
        <v>3.428752404</v>
      </c>
    </row>
    <row r="178" ht="15.75" customHeight="1">
      <c r="A178" s="161" t="s">
        <v>1128</v>
      </c>
      <c r="B178" s="15">
        <v>1744851.0</v>
      </c>
      <c r="C178" s="162" t="s">
        <v>1298</v>
      </c>
      <c r="D178" s="163">
        <v>43769.501388888886</v>
      </c>
      <c r="E178" s="15" t="s">
        <v>381</v>
      </c>
      <c r="F178" s="164" t="s">
        <v>1299</v>
      </c>
      <c r="G178" s="164" t="s">
        <v>1300</v>
      </c>
      <c r="H178" s="173">
        <v>43854.0</v>
      </c>
      <c r="I178" s="162" t="s">
        <v>1301</v>
      </c>
      <c r="J178" s="162" t="s">
        <v>1302</v>
      </c>
      <c r="K178" s="15" t="s">
        <v>340</v>
      </c>
      <c r="L178" s="15" t="s">
        <v>390</v>
      </c>
      <c r="M178" s="15" t="s">
        <v>31</v>
      </c>
      <c r="N178" s="15" t="s">
        <v>82</v>
      </c>
      <c r="O178" s="15" t="s">
        <v>35</v>
      </c>
      <c r="Q178" s="15" t="s">
        <v>121</v>
      </c>
      <c r="R178" s="166"/>
      <c r="S178" s="120"/>
      <c r="T178" s="69">
        <v>6051033.0</v>
      </c>
      <c r="U178" s="69"/>
      <c r="V178" s="132"/>
      <c r="W178" s="96" t="str">
        <f t="shared" si="125"/>
        <v/>
      </c>
      <c r="X178" s="98">
        <f t="shared" si="126"/>
        <v>6051033</v>
      </c>
      <c r="Y178" s="99" t="str">
        <f t="shared" si="127"/>
        <v>$6M - $8M</v>
      </c>
      <c r="Z178" s="15" t="s">
        <v>36</v>
      </c>
      <c r="AA178" s="15" t="s">
        <v>37</v>
      </c>
      <c r="AB178" s="15" t="s">
        <v>38</v>
      </c>
      <c r="AC178" s="15" t="s">
        <v>493</v>
      </c>
      <c r="AD178" s="15" t="s">
        <v>89</v>
      </c>
      <c r="AE178" s="15" t="s">
        <v>89</v>
      </c>
      <c r="AF178" s="15" t="s">
        <v>469</v>
      </c>
      <c r="AG178" s="69">
        <v>4.585E10</v>
      </c>
      <c r="AH178" s="97" t="str">
        <f t="shared" si="128"/>
        <v>$25B-$50B</v>
      </c>
      <c r="AI178" s="69">
        <v>4.585E10</v>
      </c>
      <c r="AJ178" s="97" t="str">
        <f t="shared" si="129"/>
        <v>$25B-$50B</v>
      </c>
      <c r="AK178" s="167">
        <v>0.12</v>
      </c>
      <c r="AL178" s="88" t="str">
        <f t="shared" si="130"/>
        <v>10%-20%</v>
      </c>
      <c r="AM178" s="15">
        <v>7.0</v>
      </c>
      <c r="AN178" s="15" t="s">
        <v>39</v>
      </c>
      <c r="AO178" s="15" t="s">
        <v>89</v>
      </c>
      <c r="AP178" s="15" t="s">
        <v>90</v>
      </c>
      <c r="AQ178" s="168"/>
      <c r="AR178" s="168"/>
      <c r="AS178" s="15" t="s">
        <v>469</v>
      </c>
      <c r="AT178" s="15" t="s">
        <v>493</v>
      </c>
      <c r="AU178" s="15" t="s">
        <v>469</v>
      </c>
      <c r="AV178" s="15" t="s">
        <v>469</v>
      </c>
      <c r="AW178" s="69">
        <v>0.0</v>
      </c>
      <c r="AX178" s="96" t="str">
        <f t="shared" si="131"/>
        <v>&lt; $10K</v>
      </c>
      <c r="AY178" s="69">
        <v>12321.0</v>
      </c>
      <c r="AZ178" s="69">
        <v>526402.0</v>
      </c>
      <c r="BA178" s="103" t="str">
        <f t="shared" si="132"/>
        <v>$500K - $1M</v>
      </c>
      <c r="BB178" s="103">
        <f t="shared" si="133"/>
        <v>0.02340606609</v>
      </c>
      <c r="BC178" s="103" t="str">
        <f t="shared" si="134"/>
        <v>&lt; 10%</v>
      </c>
      <c r="BD178" s="15" t="s">
        <v>91</v>
      </c>
      <c r="BF178" s="15" t="s">
        <v>493</v>
      </c>
      <c r="BG178" s="15">
        <v>0.0</v>
      </c>
      <c r="BH178" s="15">
        <v>1.0</v>
      </c>
      <c r="BI178" s="15" t="s">
        <v>493</v>
      </c>
      <c r="BJ178" s="15" t="s">
        <v>469</v>
      </c>
      <c r="BK178" s="15" t="s">
        <v>469</v>
      </c>
      <c r="BL178" s="15" t="s">
        <v>469</v>
      </c>
      <c r="BM178" s="15">
        <v>1.0</v>
      </c>
      <c r="BN178" s="15">
        <v>3.0</v>
      </c>
      <c r="BO178" s="15">
        <v>2.0</v>
      </c>
      <c r="BP178" s="15">
        <v>0.0</v>
      </c>
      <c r="BQ178" s="108"/>
      <c r="BR178" s="15">
        <v>17.0</v>
      </c>
      <c r="BS178" s="15">
        <v>3.0</v>
      </c>
      <c r="BT178" s="15">
        <v>0.0</v>
      </c>
      <c r="BU178" s="15">
        <v>46.0</v>
      </c>
      <c r="BV178" s="15" t="s">
        <v>469</v>
      </c>
      <c r="BW178" s="108"/>
      <c r="CC178" s="108"/>
      <c r="CI178" s="108"/>
      <c r="CO178" s="108"/>
      <c r="CU178" s="108"/>
      <c r="DA178" s="108"/>
      <c r="DG178" s="108"/>
      <c r="DM178" s="108"/>
      <c r="DS178" s="108"/>
      <c r="DT178" s="108"/>
      <c r="DU178" s="108"/>
      <c r="DW178" s="109"/>
      <c r="DX178" s="110">
        <f t="shared" si="13"/>
        <v>17</v>
      </c>
      <c r="DY178" s="111">
        <f t="shared" ref="DY178:DZ178" si="415">sum(BS178,BY178,CE178,CK178,CQ178,CW178,DC178,DI178,DO178)</f>
        <v>3</v>
      </c>
      <c r="DZ178" s="111">
        <f t="shared" si="415"/>
        <v>0</v>
      </c>
      <c r="EA178" s="110">
        <f t="shared" si="15"/>
        <v>46</v>
      </c>
      <c r="EB178" s="99" t="str">
        <f t="shared" si="16"/>
        <v>35 - 54</v>
      </c>
      <c r="EC178" s="112"/>
      <c r="ED178" s="113">
        <f t="shared" si="17"/>
        <v>4.2</v>
      </c>
      <c r="EE178" s="114" t="str">
        <f>IF(V178 &lt;&gt; "", 1+((V178-MIN(discount_rates))*(4)/(MAX(discount_rates) - MIN(discount_rates))), "")</f>
        <v/>
      </c>
      <c r="EF178" s="114" t="str">
        <f>IF(Q178="Debt", (1+((S178-MIN(interest_rates))*(4)/(MAX(interest_rates) - MIN(interest_rates)))), "")</f>
        <v/>
      </c>
      <c r="EG178" s="114" t="str">
        <f>IF(OR(Q178="Revenue Share", Q178="Profit Share"), (1+((R178-MIN(return_mutiples))*(4)/(MAX(return_mutiples) - MIN(return_mutiples)))), "")</f>
        <v/>
      </c>
      <c r="EH178" s="115">
        <f t="shared" si="18"/>
        <v>4.2</v>
      </c>
      <c r="EI178" s="116" t="str">
        <f t="shared" si="19"/>
        <v>Equity - Common</v>
      </c>
      <c r="EJ178" s="117">
        <f t="shared" si="20"/>
        <v>0.3287671233</v>
      </c>
      <c r="EK178" s="116" t="str">
        <f t="shared" si="21"/>
        <v>Early</v>
      </c>
      <c r="EL178" s="112"/>
      <c r="EM178" s="118">
        <f t="shared" si="22"/>
        <v>3.6</v>
      </c>
      <c r="EN178" s="118">
        <f t="shared" si="23"/>
        <v>2.3</v>
      </c>
      <c r="EO178" s="119">
        <f t="shared" si="24"/>
        <v>5.9</v>
      </c>
      <c r="EP178" s="115">
        <f>1+((EO178-MIN(market_ratings_sums))*(4)/(MAX(market_ratings_sums) - MIN(market_ratings_sums)))</f>
        <v>3.245614035</v>
      </c>
      <c r="EQ178" s="116" t="str">
        <f t="shared" si="25"/>
        <v>No</v>
      </c>
      <c r="ER178" s="112"/>
      <c r="ES178" s="123">
        <f>1+((DX178-MIN(industry_experiences))*(4)/(MAX(industry_experiences) - MIN(industry_experiences)))</f>
        <v>2.619047619</v>
      </c>
      <c r="ET178" s="123">
        <f>1+((DY178-MIN(previous_startups))*(4)/(MAX(previous_startups) - MIN(previous_startups)))</f>
        <v>2.333333333</v>
      </c>
      <c r="EU178" s="123">
        <f>1+((DZ178-MIN(exits))*(4)/(MAX(exits) - MIN(exits)))</f>
        <v>1</v>
      </c>
      <c r="EV178" s="119">
        <f t="shared" si="26"/>
        <v>5.952380952</v>
      </c>
      <c r="EW178" s="124">
        <f>1+((EV178-MIN(team_ratings_sums))*(4)/(MAX(team_ratings_sums) - MIN(team_ratings_sums)))</f>
        <v>2.617391304</v>
      </c>
      <c r="EX178" s="116" t="str">
        <f t="shared" si="27"/>
        <v>35 - 54</v>
      </c>
      <c r="EY178" s="125">
        <f t="shared" si="28"/>
        <v>0.6849315068</v>
      </c>
      <c r="EZ178" s="116">
        <f t="shared" si="29"/>
        <v>1</v>
      </c>
      <c r="FA178" s="125">
        <f t="shared" si="30"/>
        <v>0.4383561644</v>
      </c>
      <c r="FB178" s="116">
        <f t="shared" si="31"/>
        <v>3</v>
      </c>
      <c r="FC178" s="125">
        <f t="shared" si="32"/>
        <v>0.08219178082</v>
      </c>
      <c r="FD178" s="116" t="str">
        <f t="shared" si="33"/>
        <v>Yes</v>
      </c>
      <c r="FE178" s="125">
        <f t="shared" si="34"/>
        <v>0.2465753425</v>
      </c>
      <c r="FF178" s="116" t="str">
        <f t="shared" ref="FF178:FH178" si="416">BJ178</f>
        <v>No</v>
      </c>
      <c r="FG178" s="116" t="str">
        <f t="shared" si="416"/>
        <v>No</v>
      </c>
      <c r="FH178" s="116" t="str">
        <f t="shared" si="416"/>
        <v>No</v>
      </c>
      <c r="FI178" s="112"/>
      <c r="FJ178" s="116" t="str">
        <f t="shared" si="36"/>
        <v>Transactional</v>
      </c>
      <c r="FK178" s="125">
        <f t="shared" si="37"/>
        <v>0.602739726</v>
      </c>
      <c r="FL178" s="116" t="str">
        <f t="shared" si="38"/>
        <v>B2B</v>
      </c>
      <c r="FM178" s="125">
        <f t="shared" si="39"/>
        <v>0.2465753425</v>
      </c>
      <c r="FN178" s="116" t="str">
        <f t="shared" si="40"/>
        <v>Low</v>
      </c>
      <c r="FO178" s="125">
        <f t="shared" si="41"/>
        <v>0.4383561644</v>
      </c>
      <c r="FP178" s="116" t="str">
        <f t="shared" si="42"/>
        <v>Low</v>
      </c>
      <c r="FQ178" s="125">
        <f t="shared" si="43"/>
        <v>0.3561643836</v>
      </c>
      <c r="FR178" s="112"/>
      <c r="FS178" s="123">
        <f t="shared" si="44"/>
        <v>1</v>
      </c>
      <c r="FT178" s="123">
        <f t="shared" si="45"/>
        <v>1</v>
      </c>
      <c r="FU178" s="123">
        <f t="shared" si="46"/>
        <v>5</v>
      </c>
      <c r="FV178" s="123">
        <f t="shared" si="47"/>
        <v>3.2</v>
      </c>
      <c r="FW178" s="119">
        <f t="shared" si="48"/>
        <v>10.2</v>
      </c>
      <c r="FX178" s="115">
        <f>1+((FW178-MIN(performance_ratings_sums))*(4)/(MAX(performance_ratings_sums) - MIN(performance_ratings_sums)))</f>
        <v>2.308411215</v>
      </c>
      <c r="FY178" s="116" t="str">
        <f t="shared" si="49"/>
        <v>Pre-Revenue</v>
      </c>
      <c r="FZ178" s="126">
        <f t="shared" si="50"/>
        <v>0.2054794521</v>
      </c>
      <c r="GA178" s="112"/>
      <c r="GB178" s="127">
        <f t="shared" si="51"/>
        <v>3</v>
      </c>
      <c r="GC178" s="116" t="str">
        <f t="shared" si="52"/>
        <v>Yes</v>
      </c>
      <c r="GD178" s="126">
        <f t="shared" si="53"/>
        <v>0.2328767123</v>
      </c>
      <c r="GE178" s="126" t="str">
        <f t="shared" si="54"/>
        <v/>
      </c>
      <c r="GF178" s="126">
        <f t="shared" si="55"/>
        <v>0</v>
      </c>
      <c r="GG178" s="126" t="str">
        <f t="shared" si="56"/>
        <v/>
      </c>
      <c r="GH178" s="126">
        <f t="shared" si="57"/>
        <v>0</v>
      </c>
      <c r="GI178" s="112"/>
      <c r="GJ178" s="116"/>
      <c r="GK178" s="119">
        <f t="shared" si="58"/>
        <v>15.37141655</v>
      </c>
      <c r="GL178" s="128">
        <f>1+((GK178-MIN(ratings_sums))*(4)/(MAX(ratings_sums) - MIN(ratings_sums)))</f>
        <v>3.509161156</v>
      </c>
    </row>
    <row r="179" ht="15.75" customHeight="1">
      <c r="A179" s="161" t="s">
        <v>1128</v>
      </c>
      <c r="B179" s="15">
        <v>1720886.0</v>
      </c>
      <c r="C179" s="162" t="s">
        <v>1303</v>
      </c>
      <c r="D179" s="163">
        <v>43769.504166666666</v>
      </c>
      <c r="E179" s="15" t="s">
        <v>381</v>
      </c>
      <c r="F179" s="164" t="s">
        <v>1304</v>
      </c>
      <c r="G179" s="164" t="s">
        <v>1305</v>
      </c>
      <c r="H179" s="173">
        <v>43861.0</v>
      </c>
      <c r="I179" s="162" t="s">
        <v>1306</v>
      </c>
      <c r="J179" s="162" t="s">
        <v>1307</v>
      </c>
      <c r="K179" s="15" t="s">
        <v>192</v>
      </c>
      <c r="L179" s="15" t="s">
        <v>349</v>
      </c>
      <c r="M179" s="15" t="s">
        <v>81</v>
      </c>
      <c r="N179" s="15" t="s">
        <v>101</v>
      </c>
      <c r="O179" s="15" t="s">
        <v>35</v>
      </c>
      <c r="Q179" s="15" t="s">
        <v>121</v>
      </c>
      <c r="R179" s="166"/>
      <c r="S179" s="120"/>
      <c r="T179" s="69">
        <v>4961250.0</v>
      </c>
      <c r="U179" s="69"/>
      <c r="V179" s="132"/>
      <c r="W179" s="96" t="str">
        <f t="shared" si="125"/>
        <v/>
      </c>
      <c r="X179" s="98">
        <f t="shared" si="126"/>
        <v>4961250</v>
      </c>
      <c r="Y179" s="99" t="str">
        <f t="shared" si="127"/>
        <v>$4M - $6M</v>
      </c>
      <c r="Z179" s="15" t="s">
        <v>36</v>
      </c>
      <c r="AA179" s="15" t="s">
        <v>123</v>
      </c>
      <c r="AB179" s="15" t="s">
        <v>88</v>
      </c>
      <c r="AC179" s="15" t="s">
        <v>493</v>
      </c>
      <c r="AD179" s="15" t="s">
        <v>39</v>
      </c>
      <c r="AE179" s="15" t="s">
        <v>89</v>
      </c>
      <c r="AF179" s="15" t="s">
        <v>469</v>
      </c>
      <c r="AG179" s="69">
        <v>9.04E10</v>
      </c>
      <c r="AH179" s="97" t="str">
        <f t="shared" si="128"/>
        <v>$50B-$100B</v>
      </c>
      <c r="AI179" s="69">
        <v>9.04E9</v>
      </c>
      <c r="AJ179" s="97" t="str">
        <f t="shared" si="129"/>
        <v>$5B-$10B</v>
      </c>
      <c r="AK179" s="167">
        <v>0.05</v>
      </c>
      <c r="AL179" s="88" t="str">
        <f t="shared" si="130"/>
        <v>0%-10%</v>
      </c>
      <c r="AM179" s="15">
        <v>8.0</v>
      </c>
      <c r="AN179" s="15" t="s">
        <v>89</v>
      </c>
      <c r="AO179" s="15" t="s">
        <v>89</v>
      </c>
      <c r="AP179" s="15" t="s">
        <v>40</v>
      </c>
      <c r="AQ179" s="168"/>
      <c r="AR179" s="168"/>
      <c r="AS179" s="15" t="s">
        <v>469</v>
      </c>
      <c r="AT179" s="15" t="s">
        <v>469</v>
      </c>
      <c r="AU179" s="15" t="s">
        <v>493</v>
      </c>
      <c r="AV179" s="15" t="s">
        <v>493</v>
      </c>
      <c r="AW179" s="69">
        <v>749509.0</v>
      </c>
      <c r="AX179" s="96" t="str">
        <f t="shared" si="131"/>
        <v>$500K - $1M</v>
      </c>
      <c r="AY179" s="69">
        <v>141520.0</v>
      </c>
      <c r="AZ179" s="69">
        <v>2006203.0</v>
      </c>
      <c r="BA179" s="103" t="str">
        <f t="shared" si="132"/>
        <v>$2M - $3M</v>
      </c>
      <c r="BB179" s="103">
        <f t="shared" si="133"/>
        <v>0.07054121642</v>
      </c>
      <c r="BC179" s="103" t="str">
        <f t="shared" si="134"/>
        <v>&lt; 10%</v>
      </c>
      <c r="BD179" s="15" t="s">
        <v>107</v>
      </c>
      <c r="BF179" s="15" t="s">
        <v>493</v>
      </c>
      <c r="BG179" s="15">
        <v>4.0</v>
      </c>
      <c r="BH179" s="15">
        <v>1.0</v>
      </c>
      <c r="BI179" s="15" t="s">
        <v>493</v>
      </c>
      <c r="BJ179" s="15" t="s">
        <v>469</v>
      </c>
      <c r="BK179" s="15" t="s">
        <v>469</v>
      </c>
      <c r="BL179" s="15" t="s">
        <v>469</v>
      </c>
      <c r="BM179" s="15">
        <v>2.0</v>
      </c>
      <c r="BN179" s="15">
        <v>12.0</v>
      </c>
      <c r="BO179" s="15">
        <v>0.0</v>
      </c>
      <c r="BP179" s="15">
        <v>0.0</v>
      </c>
      <c r="BQ179" s="108"/>
      <c r="BR179" s="15">
        <v>1.0</v>
      </c>
      <c r="BS179" s="15">
        <v>0.0</v>
      </c>
      <c r="BT179" s="15">
        <v>0.0</v>
      </c>
      <c r="BU179" s="15">
        <v>27.0</v>
      </c>
      <c r="BV179" s="15" t="s">
        <v>469</v>
      </c>
      <c r="BW179" s="108"/>
      <c r="CC179" s="108"/>
      <c r="CI179" s="108"/>
      <c r="CO179" s="108"/>
      <c r="CU179" s="108"/>
      <c r="DA179" s="108"/>
      <c r="DG179" s="108"/>
      <c r="DM179" s="108"/>
      <c r="DS179" s="108"/>
      <c r="DT179" s="108"/>
      <c r="DU179" s="108"/>
      <c r="DW179" s="109"/>
      <c r="DX179" s="110">
        <f t="shared" si="13"/>
        <v>1</v>
      </c>
      <c r="DY179" s="111">
        <f t="shared" ref="DY179:DZ179" si="417">sum(BS179,BY179,CE179,CK179,CQ179,CW179,DC179,DI179,DO179)</f>
        <v>0</v>
      </c>
      <c r="DZ179" s="111">
        <f t="shared" si="417"/>
        <v>0</v>
      </c>
      <c r="EA179" s="110">
        <f t="shared" si="15"/>
        <v>27</v>
      </c>
      <c r="EB179" s="99" t="str">
        <f t="shared" si="16"/>
        <v>20 - 34</v>
      </c>
      <c r="EC179" s="112"/>
      <c r="ED179" s="113">
        <f t="shared" si="17"/>
        <v>4.4</v>
      </c>
      <c r="EE179" s="114" t="str">
        <f>IF(V179 &lt;&gt; "", 1+((V179-MIN(discount_rates))*(4)/(MAX(discount_rates) - MIN(discount_rates))), "")</f>
        <v/>
      </c>
      <c r="EF179" s="114" t="str">
        <f>IF(Q179="Debt", (1+((S179-MIN(interest_rates))*(4)/(MAX(interest_rates) - MIN(interest_rates)))), "")</f>
        <v/>
      </c>
      <c r="EG179" s="114" t="str">
        <f>IF(OR(Q179="Revenue Share", Q179="Profit Share"), (1+((R179-MIN(return_mutiples))*(4)/(MAX(return_mutiples) - MIN(return_mutiples)))), "")</f>
        <v/>
      </c>
      <c r="EH179" s="115">
        <f t="shared" si="18"/>
        <v>4.4</v>
      </c>
      <c r="EI179" s="116" t="str">
        <f t="shared" si="19"/>
        <v>Equity - Common</v>
      </c>
      <c r="EJ179" s="117">
        <f t="shared" si="20"/>
        <v>0.3287671233</v>
      </c>
      <c r="EK179" s="116" t="str">
        <f t="shared" si="21"/>
        <v>Growth</v>
      </c>
      <c r="EL179" s="112"/>
      <c r="EM179" s="118">
        <f t="shared" si="22"/>
        <v>3</v>
      </c>
      <c r="EN179" s="118">
        <f t="shared" si="23"/>
        <v>1.7</v>
      </c>
      <c r="EO179" s="119">
        <f t="shared" si="24"/>
        <v>4.7</v>
      </c>
      <c r="EP179" s="115">
        <f>1+((EO179-MIN(market_ratings_sums))*(4)/(MAX(market_ratings_sums) - MIN(market_ratings_sums)))</f>
        <v>2.403508772</v>
      </c>
      <c r="EQ179" s="116" t="str">
        <f t="shared" si="25"/>
        <v>No</v>
      </c>
      <c r="ER179" s="112"/>
      <c r="ES179" s="123">
        <f>1+((DX179-MIN(industry_experiences))*(4)/(MAX(industry_experiences) - MIN(industry_experiences)))</f>
        <v>1.095238095</v>
      </c>
      <c r="ET179" s="123">
        <f>1+((DY179-MIN(previous_startups))*(4)/(MAX(previous_startups) - MIN(previous_startups)))</f>
        <v>1</v>
      </c>
      <c r="EU179" s="123">
        <f>1+((DZ179-MIN(exits))*(4)/(MAX(exits) - MIN(exits)))</f>
        <v>1</v>
      </c>
      <c r="EV179" s="119">
        <f t="shared" si="26"/>
        <v>3.095238095</v>
      </c>
      <c r="EW179" s="124">
        <f>1+((EV179-MIN(team_ratings_sums))*(4)/(MAX(team_ratings_sums) - MIN(team_ratings_sums)))</f>
        <v>1.052173913</v>
      </c>
      <c r="EX179" s="116" t="str">
        <f t="shared" si="27"/>
        <v>20 - 34</v>
      </c>
      <c r="EY179" s="125">
        <f t="shared" si="28"/>
        <v>0.2054794521</v>
      </c>
      <c r="EZ179" s="116">
        <f t="shared" si="29"/>
        <v>1</v>
      </c>
      <c r="FA179" s="125">
        <f t="shared" si="30"/>
        <v>0.4383561644</v>
      </c>
      <c r="FB179" s="116">
        <f t="shared" si="31"/>
        <v>12</v>
      </c>
      <c r="FC179" s="125">
        <f t="shared" si="32"/>
        <v>0.01369863014</v>
      </c>
      <c r="FD179" s="116" t="str">
        <f t="shared" si="33"/>
        <v>Yes</v>
      </c>
      <c r="FE179" s="125">
        <f t="shared" si="34"/>
        <v>0.2465753425</v>
      </c>
      <c r="FF179" s="116" t="str">
        <f t="shared" ref="FF179:FH179" si="418">BJ179</f>
        <v>No</v>
      </c>
      <c r="FG179" s="116" t="str">
        <f t="shared" si="418"/>
        <v>No</v>
      </c>
      <c r="FH179" s="116" t="str">
        <f t="shared" si="418"/>
        <v>No</v>
      </c>
      <c r="FI179" s="112"/>
      <c r="FJ179" s="116" t="str">
        <f t="shared" si="36"/>
        <v>Transactional</v>
      </c>
      <c r="FK179" s="125">
        <f t="shared" si="37"/>
        <v>0.602739726</v>
      </c>
      <c r="FL179" s="116" t="str">
        <f t="shared" si="38"/>
        <v>B2B/B2C</v>
      </c>
      <c r="FM179" s="125">
        <f t="shared" si="39"/>
        <v>0.3287671233</v>
      </c>
      <c r="FN179" s="116" t="str">
        <f t="shared" si="40"/>
        <v>High</v>
      </c>
      <c r="FO179" s="125">
        <f t="shared" si="41"/>
        <v>0.5616438356</v>
      </c>
      <c r="FP179" s="116" t="str">
        <f t="shared" si="42"/>
        <v>Low</v>
      </c>
      <c r="FQ179" s="125">
        <f t="shared" si="43"/>
        <v>0.3561643836</v>
      </c>
      <c r="FR179" s="112"/>
      <c r="FS179" s="123">
        <f t="shared" si="44"/>
        <v>5</v>
      </c>
      <c r="FT179" s="123">
        <f t="shared" si="45"/>
        <v>2.8</v>
      </c>
      <c r="FU179" s="123">
        <f t="shared" si="46"/>
        <v>5</v>
      </c>
      <c r="FV179" s="123">
        <f t="shared" si="47"/>
        <v>2.3</v>
      </c>
      <c r="FW179" s="119">
        <f t="shared" si="48"/>
        <v>15.1</v>
      </c>
      <c r="FX179" s="115">
        <f>1+((FW179-MIN(performance_ratings_sums))*(4)/(MAX(performance_ratings_sums) - MIN(performance_ratings_sums)))</f>
        <v>4.140186916</v>
      </c>
      <c r="FY179" s="116" t="str">
        <f t="shared" si="49"/>
        <v>Pre-Profit</v>
      </c>
      <c r="FZ179" s="126">
        <f t="shared" si="50"/>
        <v>0.4931506849</v>
      </c>
      <c r="GA179" s="112"/>
      <c r="GB179" s="127">
        <f t="shared" si="51"/>
        <v>1</v>
      </c>
      <c r="GC179" s="116" t="str">
        <f t="shared" si="52"/>
        <v>No</v>
      </c>
      <c r="GD179" s="126">
        <f t="shared" si="53"/>
        <v>0.7671232877</v>
      </c>
      <c r="GE179" s="126" t="str">
        <f t="shared" si="54"/>
        <v/>
      </c>
      <c r="GF179" s="126">
        <f t="shared" si="55"/>
        <v>0</v>
      </c>
      <c r="GG179" s="126" t="str">
        <f t="shared" si="56"/>
        <v/>
      </c>
      <c r="GH179" s="126">
        <f t="shared" si="57"/>
        <v>0</v>
      </c>
      <c r="GI179" s="112"/>
      <c r="GJ179" s="116"/>
      <c r="GK179" s="119">
        <f t="shared" si="58"/>
        <v>12.9958696</v>
      </c>
      <c r="GL179" s="128">
        <f>1+((GK179-MIN(ratings_sums))*(4)/(MAX(ratings_sums) - MIN(ratings_sums)))</f>
        <v>2.780248406</v>
      </c>
    </row>
    <row r="180" ht="15.75" customHeight="1">
      <c r="A180" s="161" t="s">
        <v>1128</v>
      </c>
      <c r="B180" s="15">
        <v>1791625.0</v>
      </c>
      <c r="C180" s="162" t="s">
        <v>1308</v>
      </c>
      <c r="D180" s="163">
        <v>43769.513194444444</v>
      </c>
      <c r="E180" s="15" t="s">
        <v>381</v>
      </c>
      <c r="F180" s="164" t="s">
        <v>1309</v>
      </c>
      <c r="G180" s="164" t="s">
        <v>1310</v>
      </c>
      <c r="H180" s="173">
        <v>43858.0</v>
      </c>
      <c r="I180" s="162" t="s">
        <v>1311</v>
      </c>
      <c r="J180" s="162" t="s">
        <v>1308</v>
      </c>
      <c r="K180" s="15" t="s">
        <v>457</v>
      </c>
      <c r="L180" s="15" t="s">
        <v>390</v>
      </c>
      <c r="M180" s="15" t="s">
        <v>81</v>
      </c>
      <c r="N180" s="15" t="s">
        <v>82</v>
      </c>
      <c r="O180" s="15" t="s">
        <v>35</v>
      </c>
      <c r="Q180" s="15" t="s">
        <v>121</v>
      </c>
      <c r="R180" s="166"/>
      <c r="S180" s="120"/>
      <c r="T180" s="69">
        <v>5000000.0</v>
      </c>
      <c r="U180" s="69"/>
      <c r="V180" s="132"/>
      <c r="W180" s="96" t="str">
        <f t="shared" si="125"/>
        <v/>
      </c>
      <c r="X180" s="98">
        <f t="shared" si="126"/>
        <v>5000000</v>
      </c>
      <c r="Y180" s="99" t="str">
        <f t="shared" si="127"/>
        <v>$4M - $6M</v>
      </c>
      <c r="Z180" s="15" t="s">
        <v>36</v>
      </c>
      <c r="AA180" s="15" t="s">
        <v>87</v>
      </c>
      <c r="AB180" s="15" t="s">
        <v>38</v>
      </c>
      <c r="AC180" s="15" t="s">
        <v>493</v>
      </c>
      <c r="AD180" s="15" t="s">
        <v>89</v>
      </c>
      <c r="AE180" s="15" t="s">
        <v>89</v>
      </c>
      <c r="AF180" s="15" t="s">
        <v>469</v>
      </c>
      <c r="AG180" s="69">
        <v>1.83E10</v>
      </c>
      <c r="AH180" s="97" t="str">
        <f t="shared" si="128"/>
        <v>$10B-$25B</v>
      </c>
      <c r="AI180" s="69">
        <v>1.83E10</v>
      </c>
      <c r="AJ180" s="97" t="str">
        <f t="shared" si="129"/>
        <v>$10B-$25B</v>
      </c>
      <c r="AK180" s="167">
        <v>0.13</v>
      </c>
      <c r="AL180" s="88" t="str">
        <f t="shared" si="130"/>
        <v>10%-20%</v>
      </c>
      <c r="AM180" s="15">
        <v>7.0</v>
      </c>
      <c r="AN180" s="15" t="s">
        <v>89</v>
      </c>
      <c r="AO180" s="15" t="s">
        <v>89</v>
      </c>
      <c r="AP180" s="15" t="s">
        <v>40</v>
      </c>
      <c r="AQ180" s="168"/>
      <c r="AR180" s="168"/>
      <c r="AS180" s="15" t="s">
        <v>469</v>
      </c>
      <c r="AT180" s="15" t="s">
        <v>469</v>
      </c>
      <c r="AU180" s="15" t="s">
        <v>493</v>
      </c>
      <c r="AV180" s="15" t="s">
        <v>493</v>
      </c>
      <c r="AW180" s="69">
        <v>98314.0</v>
      </c>
      <c r="AX180" s="96" t="str">
        <f t="shared" si="131"/>
        <v>$50K - $100K</v>
      </c>
      <c r="AY180" s="69">
        <v>341.0</v>
      </c>
      <c r="AZ180" s="69">
        <v>0.0</v>
      </c>
      <c r="BA180" s="103" t="str">
        <f t="shared" si="132"/>
        <v>&lt; $10K</v>
      </c>
      <c r="BB180" s="103">
        <f t="shared" si="133"/>
        <v>1</v>
      </c>
      <c r="BC180" s="103" t="str">
        <f t="shared" si="134"/>
        <v>90% - 100%</v>
      </c>
      <c r="BD180" s="15" t="s">
        <v>124</v>
      </c>
      <c r="BF180" s="15" t="s">
        <v>469</v>
      </c>
      <c r="BG180" s="15">
        <v>0.0</v>
      </c>
      <c r="BH180" s="15">
        <v>2.0</v>
      </c>
      <c r="BI180" s="15" t="s">
        <v>493</v>
      </c>
      <c r="BJ180" s="15" t="s">
        <v>493</v>
      </c>
      <c r="BK180" s="15" t="s">
        <v>469</v>
      </c>
      <c r="BL180" s="15" t="s">
        <v>469</v>
      </c>
      <c r="BM180" s="15">
        <v>1.0</v>
      </c>
      <c r="BN180" s="15">
        <v>2.0</v>
      </c>
      <c r="BO180" s="15">
        <v>0.0</v>
      </c>
      <c r="BP180" s="15">
        <v>0.0</v>
      </c>
      <c r="BQ180" s="108"/>
      <c r="BR180" s="15">
        <v>3.0</v>
      </c>
      <c r="BS180" s="15">
        <v>1.0</v>
      </c>
      <c r="BT180" s="15">
        <v>0.0</v>
      </c>
      <c r="BU180" s="15">
        <v>35.0</v>
      </c>
      <c r="BV180" s="15" t="s">
        <v>469</v>
      </c>
      <c r="BW180" s="108"/>
      <c r="BX180" s="15">
        <v>3.0</v>
      </c>
      <c r="BY180" s="15">
        <v>1.0</v>
      </c>
      <c r="BZ180" s="15">
        <v>0.0</v>
      </c>
      <c r="CA180" s="15">
        <v>38.0</v>
      </c>
      <c r="CB180" s="15" t="s">
        <v>469</v>
      </c>
      <c r="CC180" s="108"/>
      <c r="CI180" s="108"/>
      <c r="CO180" s="108"/>
      <c r="CU180" s="108"/>
      <c r="DA180" s="108"/>
      <c r="DG180" s="108"/>
      <c r="DM180" s="108"/>
      <c r="DS180" s="108"/>
      <c r="DT180" s="108"/>
      <c r="DU180" s="108"/>
      <c r="DW180" s="109"/>
      <c r="DX180" s="110">
        <f t="shared" si="13"/>
        <v>3</v>
      </c>
      <c r="DY180" s="111">
        <f t="shared" ref="DY180:DZ180" si="419">sum(BS180,BY180,CE180,CK180,CQ180,CW180,DC180,DI180,DO180)</f>
        <v>2</v>
      </c>
      <c r="DZ180" s="111">
        <f t="shared" si="419"/>
        <v>0</v>
      </c>
      <c r="EA180" s="110">
        <f t="shared" si="15"/>
        <v>36.5</v>
      </c>
      <c r="EB180" s="99" t="str">
        <f t="shared" si="16"/>
        <v>35 - 54</v>
      </c>
      <c r="EC180" s="112"/>
      <c r="ED180" s="113">
        <f t="shared" si="17"/>
        <v>4.4</v>
      </c>
      <c r="EE180" s="114" t="str">
        <f>IF(V180 &lt;&gt; "", 1+((V180-MIN(discount_rates))*(4)/(MAX(discount_rates) - MIN(discount_rates))), "")</f>
        <v/>
      </c>
      <c r="EF180" s="114" t="str">
        <f>IF(Q180="Debt", (1+((S180-MIN(interest_rates))*(4)/(MAX(interest_rates) - MIN(interest_rates)))), "")</f>
        <v/>
      </c>
      <c r="EG180" s="114" t="str">
        <f>IF(OR(Q180="Revenue Share", Q180="Profit Share"), (1+((R180-MIN(return_mutiples))*(4)/(MAX(return_mutiples) - MIN(return_mutiples)))), "")</f>
        <v/>
      </c>
      <c r="EH180" s="115">
        <f t="shared" si="18"/>
        <v>4.4</v>
      </c>
      <c r="EI180" s="116" t="str">
        <f t="shared" si="19"/>
        <v>Equity - Common</v>
      </c>
      <c r="EJ180" s="117">
        <f t="shared" si="20"/>
        <v>0.3287671233</v>
      </c>
      <c r="EK180" s="116" t="str">
        <f t="shared" si="21"/>
        <v>Growth</v>
      </c>
      <c r="EL180" s="112"/>
      <c r="EM180" s="118">
        <f t="shared" si="22"/>
        <v>3.3</v>
      </c>
      <c r="EN180" s="118">
        <f t="shared" si="23"/>
        <v>2.3</v>
      </c>
      <c r="EO180" s="119">
        <f t="shared" si="24"/>
        <v>5.6</v>
      </c>
      <c r="EP180" s="115">
        <f>1+((EO180-MIN(market_ratings_sums))*(4)/(MAX(market_ratings_sums) - MIN(market_ratings_sums)))</f>
        <v>3.035087719</v>
      </c>
      <c r="EQ180" s="116" t="str">
        <f t="shared" si="25"/>
        <v>No</v>
      </c>
      <c r="ER180" s="112"/>
      <c r="ES180" s="123">
        <f>1+((DX180-MIN(industry_experiences))*(4)/(MAX(industry_experiences) - MIN(industry_experiences)))</f>
        <v>1.285714286</v>
      </c>
      <c r="ET180" s="123">
        <f>1+((DY180-MIN(previous_startups))*(4)/(MAX(previous_startups) - MIN(previous_startups)))</f>
        <v>1.888888889</v>
      </c>
      <c r="EU180" s="123">
        <f>1+((DZ180-MIN(exits))*(4)/(MAX(exits) - MIN(exits)))</f>
        <v>1</v>
      </c>
      <c r="EV180" s="119">
        <f t="shared" si="26"/>
        <v>4.174603175</v>
      </c>
      <c r="EW180" s="124">
        <f>1+((EV180-MIN(team_ratings_sums))*(4)/(MAX(team_ratings_sums) - MIN(team_ratings_sums)))</f>
        <v>1.643478261</v>
      </c>
      <c r="EX180" s="116" t="str">
        <f t="shared" si="27"/>
        <v>35 - 54</v>
      </c>
      <c r="EY180" s="125">
        <f t="shared" si="28"/>
        <v>0.6849315068</v>
      </c>
      <c r="EZ180" s="116">
        <f t="shared" si="29"/>
        <v>2</v>
      </c>
      <c r="FA180" s="125">
        <f t="shared" si="30"/>
        <v>0.4520547945</v>
      </c>
      <c r="FB180" s="116">
        <f t="shared" si="31"/>
        <v>2</v>
      </c>
      <c r="FC180" s="125">
        <f t="shared" si="32"/>
        <v>0.1369863014</v>
      </c>
      <c r="FD180" s="116" t="str">
        <f t="shared" si="33"/>
        <v>Yes</v>
      </c>
      <c r="FE180" s="125">
        <f t="shared" si="34"/>
        <v>0.2465753425</v>
      </c>
      <c r="FF180" s="116" t="str">
        <f t="shared" ref="FF180:FH180" si="420">BJ180</f>
        <v>Yes</v>
      </c>
      <c r="FG180" s="116" t="str">
        <f t="shared" si="420"/>
        <v>No</v>
      </c>
      <c r="FH180" s="116" t="str">
        <f t="shared" si="420"/>
        <v>No</v>
      </c>
      <c r="FI180" s="112"/>
      <c r="FJ180" s="116" t="str">
        <f t="shared" si="36"/>
        <v>Transactional</v>
      </c>
      <c r="FK180" s="125">
        <f t="shared" si="37"/>
        <v>0.602739726</v>
      </c>
      <c r="FL180" s="116" t="str">
        <f t="shared" si="38"/>
        <v>B2C</v>
      </c>
      <c r="FM180" s="125">
        <f t="shared" si="39"/>
        <v>0.397260274</v>
      </c>
      <c r="FN180" s="116" t="str">
        <f t="shared" si="40"/>
        <v>Low</v>
      </c>
      <c r="FO180" s="125">
        <f t="shared" si="41"/>
        <v>0.4383561644</v>
      </c>
      <c r="FP180" s="116" t="str">
        <f t="shared" si="42"/>
        <v>Low</v>
      </c>
      <c r="FQ180" s="125">
        <f t="shared" si="43"/>
        <v>0.3561643836</v>
      </c>
      <c r="FR180" s="112"/>
      <c r="FS180" s="123">
        <f t="shared" si="44"/>
        <v>5</v>
      </c>
      <c r="FT180" s="123">
        <f t="shared" si="45"/>
        <v>1.9</v>
      </c>
      <c r="FU180" s="123">
        <f t="shared" si="46"/>
        <v>1</v>
      </c>
      <c r="FV180" s="123">
        <f t="shared" si="47"/>
        <v>5</v>
      </c>
      <c r="FW180" s="119">
        <f t="shared" si="48"/>
        <v>12.9</v>
      </c>
      <c r="FX180" s="115">
        <f>1+((FW180-MIN(performance_ratings_sums))*(4)/(MAX(performance_ratings_sums) - MIN(performance_ratings_sums)))</f>
        <v>3.317757009</v>
      </c>
      <c r="FY180" s="116" t="str">
        <f t="shared" si="49"/>
        <v>Profitable</v>
      </c>
      <c r="FZ180" s="126">
        <f t="shared" si="50"/>
        <v>0.06849315068</v>
      </c>
      <c r="GA180" s="112"/>
      <c r="GB180" s="127">
        <f t="shared" si="51"/>
        <v>1</v>
      </c>
      <c r="GC180" s="116" t="str">
        <f t="shared" si="52"/>
        <v>No</v>
      </c>
      <c r="GD180" s="126">
        <f t="shared" si="53"/>
        <v>0.7671232877</v>
      </c>
      <c r="GE180" s="126" t="str">
        <f t="shared" si="54"/>
        <v/>
      </c>
      <c r="GF180" s="126">
        <f t="shared" si="55"/>
        <v>0</v>
      </c>
      <c r="GG180" s="126" t="str">
        <f t="shared" si="56"/>
        <v/>
      </c>
      <c r="GH180" s="126">
        <f t="shared" si="57"/>
        <v>0</v>
      </c>
      <c r="GI180" s="112"/>
      <c r="GJ180" s="116"/>
      <c r="GK180" s="119">
        <f t="shared" si="58"/>
        <v>13.39632299</v>
      </c>
      <c r="GL180" s="128">
        <f>1+((GK180-MIN(ratings_sums))*(4)/(MAX(ratings_sums) - MIN(ratings_sums)))</f>
        <v>2.903123511</v>
      </c>
    </row>
    <row r="181" ht="15.75" customHeight="1">
      <c r="A181" s="161" t="s">
        <v>1128</v>
      </c>
      <c r="B181" s="15">
        <v>1792706.0</v>
      </c>
      <c r="C181" s="162" t="s">
        <v>1312</v>
      </c>
      <c r="D181" s="163">
        <v>43770.490277777775</v>
      </c>
      <c r="E181" s="15" t="s">
        <v>381</v>
      </c>
      <c r="F181" s="164" t="s">
        <v>1313</v>
      </c>
      <c r="G181" s="164" t="s">
        <v>1314</v>
      </c>
      <c r="H181" s="173">
        <v>43881.0</v>
      </c>
      <c r="I181" s="162" t="s">
        <v>1315</v>
      </c>
      <c r="J181" s="162" t="s">
        <v>1312</v>
      </c>
      <c r="K181" s="15" t="s">
        <v>448</v>
      </c>
      <c r="L181" s="15" t="s">
        <v>390</v>
      </c>
      <c r="M181" s="15" t="s">
        <v>81</v>
      </c>
      <c r="N181" s="15" t="s">
        <v>101</v>
      </c>
      <c r="O181" s="15" t="s">
        <v>35</v>
      </c>
      <c r="Q181" s="15" t="s">
        <v>121</v>
      </c>
      <c r="R181" s="166"/>
      <c r="S181" s="120"/>
      <c r="T181" s="69">
        <v>1.0715E7</v>
      </c>
      <c r="U181" s="69"/>
      <c r="V181" s="132"/>
      <c r="W181" s="96" t="str">
        <f t="shared" si="125"/>
        <v/>
      </c>
      <c r="X181" s="98">
        <f t="shared" si="126"/>
        <v>10715000</v>
      </c>
      <c r="Y181" s="99" t="str">
        <f t="shared" si="127"/>
        <v>$10M - $12M</v>
      </c>
      <c r="Z181" s="15" t="s">
        <v>36</v>
      </c>
      <c r="AA181" s="15" t="s">
        <v>123</v>
      </c>
      <c r="AB181" s="15" t="s">
        <v>38</v>
      </c>
      <c r="AC181" s="15" t="s">
        <v>493</v>
      </c>
      <c r="AD181" s="15" t="s">
        <v>39</v>
      </c>
      <c r="AE181" s="15" t="s">
        <v>89</v>
      </c>
      <c r="AF181" s="15" t="s">
        <v>469</v>
      </c>
      <c r="AG181" s="69">
        <v>7.39267E11</v>
      </c>
      <c r="AH181" s="97" t="str">
        <f t="shared" si="128"/>
        <v>$500B-$1T</v>
      </c>
      <c r="AI181" s="69">
        <v>2.48552E11</v>
      </c>
      <c r="AJ181" s="97" t="str">
        <f t="shared" si="129"/>
        <v>$100B-$250B</v>
      </c>
      <c r="AK181" s="167">
        <v>0.04</v>
      </c>
      <c r="AL181" s="88" t="str">
        <f t="shared" si="130"/>
        <v>0%-10%</v>
      </c>
      <c r="AM181" s="15">
        <v>101.0</v>
      </c>
      <c r="AN181" s="15" t="s">
        <v>89</v>
      </c>
      <c r="AO181" s="15" t="s">
        <v>89</v>
      </c>
      <c r="AP181" s="15" t="s">
        <v>40</v>
      </c>
      <c r="AQ181" s="168"/>
      <c r="AR181" s="168"/>
      <c r="AS181" s="15" t="s">
        <v>469</v>
      </c>
      <c r="AT181" s="15" t="s">
        <v>469</v>
      </c>
      <c r="AU181" s="15" t="s">
        <v>493</v>
      </c>
      <c r="AV181" s="15" t="s">
        <v>493</v>
      </c>
      <c r="AW181" s="69">
        <v>276616.0</v>
      </c>
      <c r="AX181" s="96" t="str">
        <f t="shared" si="131"/>
        <v>$100K - $500K</v>
      </c>
      <c r="AY181" s="69">
        <v>1844.0</v>
      </c>
      <c r="AZ181" s="69">
        <v>114028.0</v>
      </c>
      <c r="BA181" s="103" t="str">
        <f t="shared" si="132"/>
        <v>$100K - $500K</v>
      </c>
      <c r="BB181" s="103">
        <f t="shared" si="133"/>
        <v>0.01617146666</v>
      </c>
      <c r="BC181" s="103" t="str">
        <f t="shared" si="134"/>
        <v>&lt; 10%</v>
      </c>
      <c r="BD181" s="15" t="s">
        <v>124</v>
      </c>
      <c r="BF181" s="15" t="s">
        <v>493</v>
      </c>
      <c r="BG181" s="15">
        <v>1.0</v>
      </c>
      <c r="BH181" s="15">
        <v>2.0</v>
      </c>
      <c r="BI181" s="15" t="s">
        <v>493</v>
      </c>
      <c r="BJ181" s="15" t="s">
        <v>493</v>
      </c>
      <c r="BK181" s="15" t="s">
        <v>469</v>
      </c>
      <c r="BL181" s="15" t="s">
        <v>469</v>
      </c>
      <c r="BM181" s="15">
        <v>2.0</v>
      </c>
      <c r="BN181" s="15">
        <v>5.0</v>
      </c>
      <c r="BO181" s="15">
        <v>0.0</v>
      </c>
      <c r="BP181" s="15">
        <v>0.0</v>
      </c>
      <c r="BQ181" s="108"/>
      <c r="BR181" s="15">
        <v>1.0</v>
      </c>
      <c r="BS181" s="15">
        <v>0.0</v>
      </c>
      <c r="BT181" s="15">
        <v>0.0</v>
      </c>
      <c r="BU181" s="15">
        <v>39.0</v>
      </c>
      <c r="BV181" s="15" t="s">
        <v>469</v>
      </c>
      <c r="BW181" s="108"/>
      <c r="BX181" s="15">
        <v>8.0</v>
      </c>
      <c r="BY181" s="15">
        <v>0.0</v>
      </c>
      <c r="BZ181" s="15">
        <v>0.0</v>
      </c>
      <c r="CB181" s="15" t="s">
        <v>469</v>
      </c>
      <c r="CC181" s="108"/>
      <c r="CI181" s="108"/>
      <c r="CO181" s="108"/>
      <c r="CU181" s="108"/>
      <c r="DA181" s="108"/>
      <c r="DG181" s="108"/>
      <c r="DM181" s="108"/>
      <c r="DS181" s="108"/>
      <c r="DT181" s="108"/>
      <c r="DU181" s="108"/>
      <c r="DW181" s="109"/>
      <c r="DX181" s="110">
        <f t="shared" si="13"/>
        <v>4.5</v>
      </c>
      <c r="DY181" s="111">
        <f t="shared" ref="DY181:DZ181" si="421">sum(BS181,BY181,CE181,CK181,CQ181,CW181,DC181,DI181,DO181)</f>
        <v>0</v>
      </c>
      <c r="DZ181" s="111">
        <f t="shared" si="421"/>
        <v>0</v>
      </c>
      <c r="EA181" s="110">
        <f t="shared" si="15"/>
        <v>39</v>
      </c>
      <c r="EB181" s="99" t="str">
        <f t="shared" si="16"/>
        <v>35 - 54</v>
      </c>
      <c r="EC181" s="112"/>
      <c r="ED181" s="113">
        <f t="shared" si="17"/>
        <v>3.9</v>
      </c>
      <c r="EE181" s="114" t="str">
        <f>IF(V181 &lt;&gt; "", 1+((V181-MIN(discount_rates))*(4)/(MAX(discount_rates) - MIN(discount_rates))), "")</f>
        <v/>
      </c>
      <c r="EF181" s="114" t="str">
        <f>IF(Q181="Debt", (1+((S181-MIN(interest_rates))*(4)/(MAX(interest_rates) - MIN(interest_rates)))), "")</f>
        <v/>
      </c>
      <c r="EG181" s="114" t="str">
        <f>IF(OR(Q181="Revenue Share", Q181="Profit Share"), (1+((R181-MIN(return_mutiples))*(4)/(MAX(return_mutiples) - MIN(return_mutiples)))), "")</f>
        <v/>
      </c>
      <c r="EH181" s="115">
        <f t="shared" si="18"/>
        <v>3.9</v>
      </c>
      <c r="EI181" s="116" t="str">
        <f t="shared" si="19"/>
        <v>Equity - Common</v>
      </c>
      <c r="EJ181" s="117">
        <f t="shared" si="20"/>
        <v>0.3287671233</v>
      </c>
      <c r="EK181" s="116" t="str">
        <f t="shared" si="21"/>
        <v>Growth</v>
      </c>
      <c r="EL181" s="112"/>
      <c r="EM181" s="118">
        <f t="shared" si="22"/>
        <v>4.1</v>
      </c>
      <c r="EN181" s="118">
        <f t="shared" si="23"/>
        <v>1.7</v>
      </c>
      <c r="EO181" s="119">
        <f t="shared" si="24"/>
        <v>5.8</v>
      </c>
      <c r="EP181" s="115">
        <f>1+((EO181-MIN(market_ratings_sums))*(4)/(MAX(market_ratings_sums) - MIN(market_ratings_sums)))</f>
        <v>3.175438596</v>
      </c>
      <c r="EQ181" s="116" t="str">
        <f t="shared" si="25"/>
        <v>No</v>
      </c>
      <c r="ER181" s="112"/>
      <c r="ES181" s="123">
        <f>1+((DX181-MIN(industry_experiences))*(4)/(MAX(industry_experiences) - MIN(industry_experiences)))</f>
        <v>1.428571429</v>
      </c>
      <c r="ET181" s="123">
        <f>1+((DY181-MIN(previous_startups))*(4)/(MAX(previous_startups) - MIN(previous_startups)))</f>
        <v>1</v>
      </c>
      <c r="EU181" s="123">
        <f>1+((DZ181-MIN(exits))*(4)/(MAX(exits) - MIN(exits)))</f>
        <v>1</v>
      </c>
      <c r="EV181" s="119">
        <f t="shared" si="26"/>
        <v>3.428571429</v>
      </c>
      <c r="EW181" s="124">
        <f>1+((EV181-MIN(team_ratings_sums))*(4)/(MAX(team_ratings_sums) - MIN(team_ratings_sums)))</f>
        <v>1.234782609</v>
      </c>
      <c r="EX181" s="116" t="str">
        <f t="shared" si="27"/>
        <v>35 - 54</v>
      </c>
      <c r="EY181" s="125">
        <f t="shared" si="28"/>
        <v>0.6849315068</v>
      </c>
      <c r="EZ181" s="116">
        <f t="shared" si="29"/>
        <v>2</v>
      </c>
      <c r="FA181" s="125">
        <f t="shared" si="30"/>
        <v>0.4520547945</v>
      </c>
      <c r="FB181" s="116">
        <f t="shared" si="31"/>
        <v>5</v>
      </c>
      <c r="FC181" s="125">
        <f t="shared" si="32"/>
        <v>0.1369863014</v>
      </c>
      <c r="FD181" s="116" t="str">
        <f t="shared" si="33"/>
        <v>Yes</v>
      </c>
      <c r="FE181" s="125">
        <f t="shared" si="34"/>
        <v>0.2465753425</v>
      </c>
      <c r="FF181" s="116" t="str">
        <f t="shared" ref="FF181:FH181" si="422">BJ181</f>
        <v>Yes</v>
      </c>
      <c r="FG181" s="116" t="str">
        <f t="shared" si="422"/>
        <v>No</v>
      </c>
      <c r="FH181" s="116" t="str">
        <f t="shared" si="422"/>
        <v>No</v>
      </c>
      <c r="FI181" s="112"/>
      <c r="FJ181" s="116" t="str">
        <f t="shared" si="36"/>
        <v>Transactional</v>
      </c>
      <c r="FK181" s="125">
        <f t="shared" si="37"/>
        <v>0.602739726</v>
      </c>
      <c r="FL181" s="116" t="str">
        <f t="shared" si="38"/>
        <v>B2B/B2C</v>
      </c>
      <c r="FM181" s="125">
        <f t="shared" si="39"/>
        <v>0.3287671233</v>
      </c>
      <c r="FN181" s="116" t="str">
        <f t="shared" si="40"/>
        <v>High</v>
      </c>
      <c r="FO181" s="125">
        <f t="shared" si="41"/>
        <v>0.5616438356</v>
      </c>
      <c r="FP181" s="116" t="str">
        <f t="shared" si="42"/>
        <v>Low</v>
      </c>
      <c r="FQ181" s="125">
        <f t="shared" si="43"/>
        <v>0.3561643836</v>
      </c>
      <c r="FR181" s="112"/>
      <c r="FS181" s="123">
        <f t="shared" si="44"/>
        <v>5</v>
      </c>
      <c r="FT181" s="123">
        <f t="shared" si="45"/>
        <v>2.3</v>
      </c>
      <c r="FU181" s="123">
        <f t="shared" si="46"/>
        <v>5</v>
      </c>
      <c r="FV181" s="123">
        <f t="shared" si="47"/>
        <v>3.7</v>
      </c>
      <c r="FW181" s="119">
        <f t="shared" si="48"/>
        <v>16</v>
      </c>
      <c r="FX181" s="115">
        <f>1+((FW181-MIN(performance_ratings_sums))*(4)/(MAX(performance_ratings_sums) - MIN(performance_ratings_sums)))</f>
        <v>4.476635514</v>
      </c>
      <c r="FY181" s="116" t="str">
        <f t="shared" si="49"/>
        <v>Profitable</v>
      </c>
      <c r="FZ181" s="126">
        <f t="shared" si="50"/>
        <v>0.06849315068</v>
      </c>
      <c r="GA181" s="112"/>
      <c r="GB181" s="127">
        <f t="shared" si="51"/>
        <v>1</v>
      </c>
      <c r="GC181" s="116" t="str">
        <f t="shared" si="52"/>
        <v>No</v>
      </c>
      <c r="GD181" s="126">
        <f t="shared" si="53"/>
        <v>0.7671232877</v>
      </c>
      <c r="GE181" s="126" t="str">
        <f t="shared" si="54"/>
        <v/>
      </c>
      <c r="GF181" s="126">
        <f t="shared" si="55"/>
        <v>0</v>
      </c>
      <c r="GG181" s="126" t="str">
        <f t="shared" si="56"/>
        <v/>
      </c>
      <c r="GH181" s="126">
        <f t="shared" si="57"/>
        <v>0</v>
      </c>
      <c r="GI181" s="112"/>
      <c r="GJ181" s="116"/>
      <c r="GK181" s="119">
        <f t="shared" si="58"/>
        <v>13.78685672</v>
      </c>
      <c r="GL181" s="128">
        <f>1+((GK181-MIN(ratings_sums))*(4)/(MAX(ratings_sums) - MIN(ratings_sums)))</f>
        <v>3.022954868</v>
      </c>
    </row>
    <row r="182" ht="15.75" customHeight="1">
      <c r="A182" s="161" t="s">
        <v>1128</v>
      </c>
      <c r="B182" s="15">
        <v>1790042.0</v>
      </c>
      <c r="C182" s="162" t="s">
        <v>1316</v>
      </c>
      <c r="D182" s="163">
        <v>43773.450694444444</v>
      </c>
      <c r="E182" s="15" t="s">
        <v>369</v>
      </c>
      <c r="F182" s="164" t="s">
        <v>1317</v>
      </c>
      <c r="G182" s="164" t="s">
        <v>1318</v>
      </c>
      <c r="H182" s="173">
        <v>43886.0</v>
      </c>
      <c r="I182" s="162" t="s">
        <v>1319</v>
      </c>
      <c r="J182" s="162" t="s">
        <v>1316</v>
      </c>
      <c r="K182" s="15" t="s">
        <v>457</v>
      </c>
      <c r="L182" s="15" t="s">
        <v>390</v>
      </c>
      <c r="M182" s="15" t="s">
        <v>31</v>
      </c>
      <c r="N182" s="15" t="s">
        <v>32</v>
      </c>
      <c r="O182" s="15" t="s">
        <v>35</v>
      </c>
      <c r="Q182" s="15" t="s">
        <v>195</v>
      </c>
      <c r="R182" s="166"/>
      <c r="S182" s="120"/>
      <c r="T182" s="69"/>
      <c r="U182" s="69">
        <v>5000000.0</v>
      </c>
      <c r="V182" s="132">
        <v>0.1</v>
      </c>
      <c r="W182" s="96">
        <f t="shared" si="125"/>
        <v>4500000</v>
      </c>
      <c r="X182" s="98">
        <f t="shared" si="126"/>
        <v>4500000</v>
      </c>
      <c r="Y182" s="99" t="str">
        <f t="shared" si="127"/>
        <v>$4M - $6M</v>
      </c>
      <c r="Z182" s="15" t="s">
        <v>86</v>
      </c>
      <c r="AA182" s="15" t="s">
        <v>37</v>
      </c>
      <c r="AB182" s="15" t="s">
        <v>38</v>
      </c>
      <c r="AC182" s="15" t="s">
        <v>493</v>
      </c>
      <c r="AD182" s="15" t="s">
        <v>89</v>
      </c>
      <c r="AE182" s="15" t="s">
        <v>89</v>
      </c>
      <c r="AF182" s="15" t="s">
        <v>493</v>
      </c>
      <c r="AG182" s="69">
        <v>5.72E10</v>
      </c>
      <c r="AH182" s="97" t="str">
        <f t="shared" si="128"/>
        <v>$50B-$100B</v>
      </c>
      <c r="AI182" s="69">
        <v>1.139E10</v>
      </c>
      <c r="AJ182" s="97" t="str">
        <f t="shared" si="129"/>
        <v>$10B-$25B</v>
      </c>
      <c r="AK182" s="167">
        <v>0.08</v>
      </c>
      <c r="AL182" s="88" t="str">
        <f t="shared" si="130"/>
        <v>0%-10%</v>
      </c>
      <c r="AM182" s="15">
        <v>0.0</v>
      </c>
      <c r="AN182" s="15" t="s">
        <v>39</v>
      </c>
      <c r="AO182" s="15" t="s">
        <v>39</v>
      </c>
      <c r="AP182" s="15" t="s">
        <v>90</v>
      </c>
      <c r="AQ182" s="168"/>
      <c r="AR182" s="168"/>
      <c r="AS182" s="15" t="s">
        <v>493</v>
      </c>
      <c r="AT182" s="15" t="s">
        <v>469</v>
      </c>
      <c r="AU182" s="15" t="s">
        <v>493</v>
      </c>
      <c r="AV182" s="15" t="s">
        <v>493</v>
      </c>
      <c r="AW182" s="69">
        <v>1893.0</v>
      </c>
      <c r="AX182" s="96" t="str">
        <f t="shared" si="131"/>
        <v>&lt; $10K</v>
      </c>
      <c r="AY182" s="69">
        <v>0.0</v>
      </c>
      <c r="AZ182" s="69">
        <v>0.0</v>
      </c>
      <c r="BA182" s="103" t="str">
        <f t="shared" si="132"/>
        <v>&lt; $10K</v>
      </c>
      <c r="BB182" s="103">
        <f t="shared" si="133"/>
        <v>1</v>
      </c>
      <c r="BC182" s="103" t="str">
        <f t="shared" si="134"/>
        <v>90% - 100%</v>
      </c>
      <c r="BD182" s="15" t="s">
        <v>107</v>
      </c>
      <c r="BF182" s="15" t="s">
        <v>493</v>
      </c>
      <c r="BG182" s="15">
        <v>3.0</v>
      </c>
      <c r="BH182" s="15">
        <v>2.0</v>
      </c>
      <c r="BI182" s="15" t="s">
        <v>469</v>
      </c>
      <c r="BJ182" s="15" t="s">
        <v>493</v>
      </c>
      <c r="BK182" s="15" t="s">
        <v>493</v>
      </c>
      <c r="BL182" s="15" t="s">
        <v>469</v>
      </c>
      <c r="BM182" s="15">
        <v>2.0</v>
      </c>
      <c r="BN182" s="15">
        <v>2.0</v>
      </c>
      <c r="BO182" s="15">
        <v>0.0</v>
      </c>
      <c r="BP182" s="15">
        <v>0.0</v>
      </c>
      <c r="BQ182" s="108"/>
      <c r="BR182" s="15">
        <v>0.0</v>
      </c>
      <c r="BS182" s="15">
        <v>1.0</v>
      </c>
      <c r="BT182" s="15">
        <v>0.0</v>
      </c>
      <c r="BU182" s="15">
        <v>31.0</v>
      </c>
      <c r="BV182" s="15" t="s">
        <v>469</v>
      </c>
      <c r="BW182" s="108"/>
      <c r="BX182" s="15">
        <v>0.0</v>
      </c>
      <c r="BY182" s="15">
        <v>0.0</v>
      </c>
      <c r="BZ182" s="15">
        <v>0.0</v>
      </c>
      <c r="CA182" s="15">
        <v>27.0</v>
      </c>
      <c r="CB182" s="15" t="s">
        <v>493</v>
      </c>
      <c r="CC182" s="108"/>
      <c r="CI182" s="108"/>
      <c r="CO182" s="108"/>
      <c r="CU182" s="108"/>
      <c r="DA182" s="108"/>
      <c r="DG182" s="108"/>
      <c r="DM182" s="108"/>
      <c r="DS182" s="108"/>
      <c r="DT182" s="108"/>
      <c r="DU182" s="108"/>
      <c r="DW182" s="109"/>
      <c r="DX182" s="110">
        <f t="shared" si="13"/>
        <v>0</v>
      </c>
      <c r="DY182" s="111">
        <f t="shared" ref="DY182:DZ182" si="423">sum(BS182,BY182,CE182,CK182,CQ182,CW182,DC182,DI182,DO182)</f>
        <v>1</v>
      </c>
      <c r="DZ182" s="111">
        <f t="shared" si="423"/>
        <v>0</v>
      </c>
      <c r="EA182" s="110">
        <f t="shared" si="15"/>
        <v>29</v>
      </c>
      <c r="EB182" s="99" t="str">
        <f t="shared" si="16"/>
        <v>20 - 34</v>
      </c>
      <c r="EC182" s="112"/>
      <c r="ED182" s="113">
        <f t="shared" si="17"/>
        <v>4.4</v>
      </c>
      <c r="EE182" s="114">
        <f>IF(V182 &lt;&gt; "", 1+((V182-MIN(discount_rates))*(4)/(MAX(discount_rates) - MIN(discount_rates))), "")</f>
        <v>2.052631579</v>
      </c>
      <c r="EF182" s="114" t="str">
        <f>IF(Q182="Debt", (1+((S182-MIN(interest_rates))*(4)/(MAX(interest_rates) - MIN(interest_rates)))), "")</f>
        <v/>
      </c>
      <c r="EG182" s="114" t="str">
        <f>IF(OR(Q182="Revenue Share", Q182="Profit Share"), (1+((R182-MIN(return_mutiples))*(4)/(MAX(return_mutiples) - MIN(return_mutiples)))), "")</f>
        <v/>
      </c>
      <c r="EH182" s="115">
        <f t="shared" si="18"/>
        <v>4.4</v>
      </c>
      <c r="EI182" s="116" t="str">
        <f t="shared" si="19"/>
        <v>SAFE</v>
      </c>
      <c r="EJ182" s="117">
        <f t="shared" si="20"/>
        <v>0.3561643836</v>
      </c>
      <c r="EK182" s="116" t="str">
        <f t="shared" si="21"/>
        <v>Early</v>
      </c>
      <c r="EL182" s="112"/>
      <c r="EM182" s="118">
        <f t="shared" si="22"/>
        <v>3.3</v>
      </c>
      <c r="EN182" s="118">
        <f t="shared" si="23"/>
        <v>1.7</v>
      </c>
      <c r="EO182" s="119">
        <f t="shared" si="24"/>
        <v>5</v>
      </c>
      <c r="EP182" s="115">
        <f>1+((EO182-MIN(market_ratings_sums))*(4)/(MAX(market_ratings_sums) - MIN(market_ratings_sums)))</f>
        <v>2.614035088</v>
      </c>
      <c r="EQ182" s="116" t="str">
        <f t="shared" si="25"/>
        <v>Yes</v>
      </c>
      <c r="ER182" s="112"/>
      <c r="ES182" s="123">
        <f>1+((DX182-MIN(industry_experiences))*(4)/(MAX(industry_experiences) - MIN(industry_experiences)))</f>
        <v>1</v>
      </c>
      <c r="ET182" s="123">
        <f>1+((DY182-MIN(previous_startups))*(4)/(MAX(previous_startups) - MIN(previous_startups)))</f>
        <v>1.444444444</v>
      </c>
      <c r="EU182" s="123">
        <f>1+((DZ182-MIN(exits))*(4)/(MAX(exits) - MIN(exits)))</f>
        <v>1</v>
      </c>
      <c r="EV182" s="119">
        <f t="shared" si="26"/>
        <v>3.444444444</v>
      </c>
      <c r="EW182" s="124">
        <f>1+((EV182-MIN(team_ratings_sums))*(4)/(MAX(team_ratings_sums) - MIN(team_ratings_sums)))</f>
        <v>1.243478261</v>
      </c>
      <c r="EX182" s="116" t="str">
        <f t="shared" si="27"/>
        <v>20 - 34</v>
      </c>
      <c r="EY182" s="125">
        <f t="shared" si="28"/>
        <v>0.2054794521</v>
      </c>
      <c r="EZ182" s="116">
        <f t="shared" si="29"/>
        <v>2</v>
      </c>
      <c r="FA182" s="125">
        <f t="shared" si="30"/>
        <v>0.4520547945</v>
      </c>
      <c r="FB182" s="116">
        <f t="shared" si="31"/>
        <v>2</v>
      </c>
      <c r="FC182" s="125">
        <f t="shared" si="32"/>
        <v>0.1369863014</v>
      </c>
      <c r="FD182" s="116" t="str">
        <f t="shared" si="33"/>
        <v>No</v>
      </c>
      <c r="FE182" s="125">
        <f t="shared" si="34"/>
        <v>0.7534246575</v>
      </c>
      <c r="FF182" s="116" t="str">
        <f t="shared" ref="FF182:FH182" si="424">BJ182</f>
        <v>Yes</v>
      </c>
      <c r="FG182" s="116" t="str">
        <f t="shared" si="424"/>
        <v>Yes</v>
      </c>
      <c r="FH182" s="116" t="str">
        <f t="shared" si="424"/>
        <v>No</v>
      </c>
      <c r="FI182" s="112"/>
      <c r="FJ182" s="116" t="str">
        <f t="shared" si="36"/>
        <v>Recurring</v>
      </c>
      <c r="FK182" s="125">
        <f t="shared" si="37"/>
        <v>0.397260274</v>
      </c>
      <c r="FL182" s="116" t="str">
        <f t="shared" si="38"/>
        <v>B2B</v>
      </c>
      <c r="FM182" s="125">
        <f t="shared" si="39"/>
        <v>0.2465753425</v>
      </c>
      <c r="FN182" s="116" t="str">
        <f t="shared" si="40"/>
        <v>Low</v>
      </c>
      <c r="FO182" s="125">
        <f t="shared" si="41"/>
        <v>0.4383561644</v>
      </c>
      <c r="FP182" s="116" t="str">
        <f t="shared" si="42"/>
        <v>Low</v>
      </c>
      <c r="FQ182" s="125">
        <f t="shared" si="43"/>
        <v>0.3561643836</v>
      </c>
      <c r="FR182" s="112"/>
      <c r="FS182" s="123">
        <f t="shared" si="44"/>
        <v>5</v>
      </c>
      <c r="FT182" s="123">
        <f t="shared" si="45"/>
        <v>1</v>
      </c>
      <c r="FU182" s="123">
        <f t="shared" si="46"/>
        <v>1</v>
      </c>
      <c r="FV182" s="123">
        <f t="shared" si="47"/>
        <v>5</v>
      </c>
      <c r="FW182" s="119">
        <f t="shared" si="48"/>
        <v>12</v>
      </c>
      <c r="FX182" s="115">
        <f>1+((FW182-MIN(performance_ratings_sums))*(4)/(MAX(performance_ratings_sums) - MIN(performance_ratings_sums)))</f>
        <v>2.981308411</v>
      </c>
      <c r="FY182" s="116" t="str">
        <f t="shared" si="49"/>
        <v>Pre-Profit</v>
      </c>
      <c r="FZ182" s="126">
        <f t="shared" si="50"/>
        <v>0.4931506849</v>
      </c>
      <c r="GA182" s="112"/>
      <c r="GB182" s="127">
        <f t="shared" si="51"/>
        <v>5</v>
      </c>
      <c r="GC182" s="116" t="str">
        <f t="shared" si="52"/>
        <v>No</v>
      </c>
      <c r="GD182" s="126">
        <f t="shared" si="53"/>
        <v>0.7671232877</v>
      </c>
      <c r="GE182" s="126" t="str">
        <f t="shared" si="54"/>
        <v/>
      </c>
      <c r="GF182" s="126">
        <f t="shared" si="55"/>
        <v>0</v>
      </c>
      <c r="GG182" s="126" t="str">
        <f t="shared" si="56"/>
        <v/>
      </c>
      <c r="GH182" s="126">
        <f t="shared" si="57"/>
        <v>0</v>
      </c>
      <c r="GI182" s="112"/>
      <c r="GJ182" s="116"/>
      <c r="GK182" s="119">
        <f t="shared" si="58"/>
        <v>16.23882176</v>
      </c>
      <c r="GL182" s="128">
        <f>1+((GK182-MIN(ratings_sums))*(4)/(MAX(ratings_sums) - MIN(ratings_sums)))</f>
        <v>3.775315741</v>
      </c>
    </row>
    <row r="183" ht="15.75" customHeight="1">
      <c r="A183" s="161" t="s">
        <v>1128</v>
      </c>
      <c r="B183" s="15">
        <v>1790042.0</v>
      </c>
      <c r="C183" s="162" t="s">
        <v>1320</v>
      </c>
      <c r="D183" s="163">
        <v>43773.45416666667</v>
      </c>
      <c r="E183" s="15" t="s">
        <v>369</v>
      </c>
      <c r="F183" s="164" t="s">
        <v>1321</v>
      </c>
      <c r="G183" s="164" t="s">
        <v>1322</v>
      </c>
      <c r="H183" s="173">
        <v>43851.0</v>
      </c>
      <c r="I183" s="162" t="s">
        <v>1323</v>
      </c>
      <c r="J183" s="162" t="s">
        <v>1320</v>
      </c>
      <c r="K183" s="15" t="s">
        <v>472</v>
      </c>
      <c r="L183" s="15" t="s">
        <v>221</v>
      </c>
      <c r="M183" s="15" t="s">
        <v>31</v>
      </c>
      <c r="N183" s="15" t="s">
        <v>82</v>
      </c>
      <c r="O183" s="15" t="s">
        <v>35</v>
      </c>
      <c r="Q183" s="15" t="s">
        <v>195</v>
      </c>
      <c r="R183" s="166"/>
      <c r="S183" s="120"/>
      <c r="T183" s="69"/>
      <c r="U183" s="69">
        <v>5000000.0</v>
      </c>
      <c r="V183" s="132">
        <v>0.15</v>
      </c>
      <c r="W183" s="96">
        <f t="shared" si="125"/>
        <v>4250000</v>
      </c>
      <c r="X183" s="98">
        <f t="shared" si="126"/>
        <v>4250000</v>
      </c>
      <c r="Y183" s="99" t="str">
        <f t="shared" si="127"/>
        <v>$4M - $6M</v>
      </c>
      <c r="Z183" s="15" t="s">
        <v>36</v>
      </c>
      <c r="AA183" s="15" t="s">
        <v>87</v>
      </c>
      <c r="AB183" s="15" t="s">
        <v>88</v>
      </c>
      <c r="AC183" s="15" t="s">
        <v>493</v>
      </c>
      <c r="AD183" s="15" t="s">
        <v>39</v>
      </c>
      <c r="AE183" s="15" t="s">
        <v>89</v>
      </c>
      <c r="AF183" s="15" t="s">
        <v>469</v>
      </c>
      <c r="AG183" s="69">
        <v>6.97E8</v>
      </c>
      <c r="AH183" s="97" t="str">
        <f t="shared" si="128"/>
        <v>$500M-$1B</v>
      </c>
      <c r="AI183" s="69">
        <v>6.97E8</v>
      </c>
      <c r="AJ183" s="97" t="str">
        <f t="shared" si="129"/>
        <v>$500M-$1B</v>
      </c>
      <c r="AK183" s="167">
        <v>0.05</v>
      </c>
      <c r="AL183" s="88" t="str">
        <f t="shared" si="130"/>
        <v>0%-10%</v>
      </c>
      <c r="AM183" s="15">
        <v>3.0</v>
      </c>
      <c r="AN183" s="15" t="s">
        <v>89</v>
      </c>
      <c r="AO183" s="15" t="s">
        <v>89</v>
      </c>
      <c r="AP183" s="15" t="s">
        <v>40</v>
      </c>
      <c r="AQ183" s="168"/>
      <c r="AR183" s="168"/>
      <c r="AS183" s="15" t="s">
        <v>469</v>
      </c>
      <c r="AT183" s="15" t="s">
        <v>469</v>
      </c>
      <c r="AU183" s="15" t="s">
        <v>493</v>
      </c>
      <c r="AV183" s="15" t="s">
        <v>493</v>
      </c>
      <c r="AW183" s="69">
        <v>1710.0</v>
      </c>
      <c r="AX183" s="96" t="str">
        <f t="shared" si="131"/>
        <v>&lt; $10K</v>
      </c>
      <c r="AY183" s="69">
        <v>2044.0</v>
      </c>
      <c r="AZ183" s="69">
        <v>24902.0</v>
      </c>
      <c r="BA183" s="103" t="str">
        <f t="shared" si="132"/>
        <v>$10K - $50K</v>
      </c>
      <c r="BB183" s="103">
        <f t="shared" si="133"/>
        <v>0.0820817605</v>
      </c>
      <c r="BC183" s="103" t="str">
        <f t="shared" si="134"/>
        <v>&lt; 10%</v>
      </c>
      <c r="BD183" s="15" t="s">
        <v>107</v>
      </c>
      <c r="BF183" s="15" t="s">
        <v>493</v>
      </c>
      <c r="BG183" s="15">
        <v>2.0</v>
      </c>
      <c r="BH183" s="15">
        <v>3.0</v>
      </c>
      <c r="BI183" s="15" t="s">
        <v>469</v>
      </c>
      <c r="BJ183" s="15" t="s">
        <v>469</v>
      </c>
      <c r="BK183" s="15" t="s">
        <v>493</v>
      </c>
      <c r="BL183" s="15" t="s">
        <v>469</v>
      </c>
      <c r="BM183" s="15">
        <v>6.0</v>
      </c>
      <c r="BN183" s="15">
        <v>4.0</v>
      </c>
      <c r="BO183" s="15">
        <v>1.0</v>
      </c>
      <c r="BP183" s="15">
        <v>0.0</v>
      </c>
      <c r="BQ183" s="108"/>
      <c r="BR183" s="15">
        <v>0.0</v>
      </c>
      <c r="BS183" s="15">
        <v>1.0</v>
      </c>
      <c r="BT183" s="15">
        <v>1.0</v>
      </c>
      <c r="BU183" s="15">
        <v>33.0</v>
      </c>
      <c r="BV183" s="15" t="s">
        <v>493</v>
      </c>
      <c r="BW183" s="108"/>
      <c r="BX183" s="15">
        <v>0.0</v>
      </c>
      <c r="BY183" s="15">
        <v>0.0</v>
      </c>
      <c r="BZ183" s="15">
        <v>0.0</v>
      </c>
      <c r="CA183" s="15">
        <v>29.0</v>
      </c>
      <c r="CB183" s="15" t="s">
        <v>469</v>
      </c>
      <c r="CC183" s="108"/>
      <c r="CD183" s="15">
        <v>0.0</v>
      </c>
      <c r="CE183" s="15">
        <v>0.0</v>
      </c>
      <c r="CF183" s="15">
        <v>0.0</v>
      </c>
      <c r="CG183" s="15">
        <v>31.0</v>
      </c>
      <c r="CH183" s="15" t="s">
        <v>469</v>
      </c>
      <c r="CI183" s="108"/>
      <c r="CO183" s="108"/>
      <c r="CU183" s="108"/>
      <c r="DA183" s="108"/>
      <c r="DG183" s="108"/>
      <c r="DM183" s="108"/>
      <c r="DS183" s="108"/>
      <c r="DT183" s="108"/>
      <c r="DU183" s="108"/>
      <c r="DW183" s="109"/>
      <c r="DX183" s="110">
        <f t="shared" si="13"/>
        <v>0</v>
      </c>
      <c r="DY183" s="111">
        <f t="shared" ref="DY183:DZ183" si="425">sum(BS183,BY183,CE183,CK183,CQ183,CW183,DC183,DI183,DO183)</f>
        <v>1</v>
      </c>
      <c r="DZ183" s="111">
        <f t="shared" si="425"/>
        <v>1</v>
      </c>
      <c r="EA183" s="110">
        <f t="shared" si="15"/>
        <v>31</v>
      </c>
      <c r="EB183" s="99" t="str">
        <f t="shared" si="16"/>
        <v>20 - 34</v>
      </c>
      <c r="EC183" s="112"/>
      <c r="ED183" s="113">
        <f t="shared" si="17"/>
        <v>4.4</v>
      </c>
      <c r="EE183" s="114">
        <f>IF(V183 &lt;&gt; "", 1+((V183-MIN(discount_rates))*(4)/(MAX(discount_rates) - MIN(discount_rates))), "")</f>
        <v>2.578947368</v>
      </c>
      <c r="EF183" s="114" t="str">
        <f>IF(Q183="Debt", (1+((S183-MIN(interest_rates))*(4)/(MAX(interest_rates) - MIN(interest_rates)))), "")</f>
        <v/>
      </c>
      <c r="EG183" s="114" t="str">
        <f>IF(OR(Q183="Revenue Share", Q183="Profit Share"), (1+((R183-MIN(return_mutiples))*(4)/(MAX(return_mutiples) - MIN(return_mutiples)))), "")</f>
        <v/>
      </c>
      <c r="EH183" s="115">
        <f t="shared" si="18"/>
        <v>4.4</v>
      </c>
      <c r="EI183" s="116" t="str">
        <f t="shared" si="19"/>
        <v>SAFE</v>
      </c>
      <c r="EJ183" s="117">
        <f t="shared" si="20"/>
        <v>0.3561643836</v>
      </c>
      <c r="EK183" s="116" t="str">
        <f t="shared" si="21"/>
        <v>Early</v>
      </c>
      <c r="EL183" s="112"/>
      <c r="EM183" s="118">
        <f t="shared" si="22"/>
        <v>2.4</v>
      </c>
      <c r="EN183" s="118">
        <f t="shared" si="23"/>
        <v>1.7</v>
      </c>
      <c r="EO183" s="119">
        <f t="shared" si="24"/>
        <v>4.1</v>
      </c>
      <c r="EP183" s="115">
        <f>1+((EO183-MIN(market_ratings_sums))*(4)/(MAX(market_ratings_sums) - MIN(market_ratings_sums)))</f>
        <v>1.98245614</v>
      </c>
      <c r="EQ183" s="116" t="str">
        <f t="shared" si="25"/>
        <v>No</v>
      </c>
      <c r="ER183" s="112"/>
      <c r="ES183" s="123">
        <f>1+((DX183-MIN(industry_experiences))*(4)/(MAX(industry_experiences) - MIN(industry_experiences)))</f>
        <v>1</v>
      </c>
      <c r="ET183" s="123">
        <f>1+((DY183-MIN(previous_startups))*(4)/(MAX(previous_startups) - MIN(previous_startups)))</f>
        <v>1.444444444</v>
      </c>
      <c r="EU183" s="123">
        <f>1+((DZ183-MIN(exits))*(4)/(MAX(exits) - MIN(exits)))</f>
        <v>2</v>
      </c>
      <c r="EV183" s="119">
        <f t="shared" si="26"/>
        <v>4.444444444</v>
      </c>
      <c r="EW183" s="124">
        <f>1+((EV183-MIN(team_ratings_sums))*(4)/(MAX(team_ratings_sums) - MIN(team_ratings_sums)))</f>
        <v>1.791304348</v>
      </c>
      <c r="EX183" s="116" t="str">
        <f t="shared" si="27"/>
        <v>20 - 34</v>
      </c>
      <c r="EY183" s="125">
        <f t="shared" si="28"/>
        <v>0.2054794521</v>
      </c>
      <c r="EZ183" s="116">
        <f t="shared" si="29"/>
        <v>3</v>
      </c>
      <c r="FA183" s="125">
        <f t="shared" si="30"/>
        <v>0.05479452055</v>
      </c>
      <c r="FB183" s="116">
        <f t="shared" si="31"/>
        <v>4</v>
      </c>
      <c r="FC183" s="125">
        <f t="shared" si="32"/>
        <v>0.1369863014</v>
      </c>
      <c r="FD183" s="116" t="str">
        <f t="shared" si="33"/>
        <v>No</v>
      </c>
      <c r="FE183" s="125">
        <f t="shared" si="34"/>
        <v>0.7534246575</v>
      </c>
      <c r="FF183" s="116" t="str">
        <f t="shared" ref="FF183:FH183" si="426">BJ183</f>
        <v>No</v>
      </c>
      <c r="FG183" s="116" t="str">
        <f t="shared" si="426"/>
        <v>Yes</v>
      </c>
      <c r="FH183" s="116" t="str">
        <f t="shared" si="426"/>
        <v>No</v>
      </c>
      <c r="FI183" s="112"/>
      <c r="FJ183" s="116" t="str">
        <f t="shared" si="36"/>
        <v>Transactional</v>
      </c>
      <c r="FK183" s="125">
        <f t="shared" si="37"/>
        <v>0.602739726</v>
      </c>
      <c r="FL183" s="116" t="str">
        <f t="shared" si="38"/>
        <v>B2C</v>
      </c>
      <c r="FM183" s="125">
        <f t="shared" si="39"/>
        <v>0.397260274</v>
      </c>
      <c r="FN183" s="116" t="str">
        <f t="shared" si="40"/>
        <v>High</v>
      </c>
      <c r="FO183" s="125">
        <f t="shared" si="41"/>
        <v>0.5616438356</v>
      </c>
      <c r="FP183" s="116" t="str">
        <f t="shared" si="42"/>
        <v>Low</v>
      </c>
      <c r="FQ183" s="125">
        <f t="shared" si="43"/>
        <v>0.3561643836</v>
      </c>
      <c r="FR183" s="112"/>
      <c r="FS183" s="123">
        <f t="shared" si="44"/>
        <v>5</v>
      </c>
      <c r="FT183" s="123">
        <f t="shared" si="45"/>
        <v>1</v>
      </c>
      <c r="FU183" s="123">
        <f t="shared" si="46"/>
        <v>5</v>
      </c>
      <c r="FV183" s="123">
        <f t="shared" si="47"/>
        <v>4.6</v>
      </c>
      <c r="FW183" s="119">
        <f t="shared" si="48"/>
        <v>15.6</v>
      </c>
      <c r="FX183" s="115">
        <f>1+((FW183-MIN(performance_ratings_sums))*(4)/(MAX(performance_ratings_sums) - MIN(performance_ratings_sums)))</f>
        <v>4.327102804</v>
      </c>
      <c r="FY183" s="116" t="str">
        <f t="shared" si="49"/>
        <v>Pre-Profit</v>
      </c>
      <c r="FZ183" s="126">
        <f t="shared" si="50"/>
        <v>0.4931506849</v>
      </c>
      <c r="GA183" s="112"/>
      <c r="GB183" s="127">
        <f t="shared" si="51"/>
        <v>1</v>
      </c>
      <c r="GC183" s="116" t="str">
        <f t="shared" si="52"/>
        <v>No</v>
      </c>
      <c r="GD183" s="126">
        <f t="shared" si="53"/>
        <v>0.7671232877</v>
      </c>
      <c r="GE183" s="126" t="str">
        <f t="shared" si="54"/>
        <v/>
      </c>
      <c r="GF183" s="126">
        <f t="shared" si="55"/>
        <v>0</v>
      </c>
      <c r="GG183" s="126" t="str">
        <f t="shared" si="56"/>
        <v/>
      </c>
      <c r="GH183" s="126">
        <f t="shared" si="57"/>
        <v>0</v>
      </c>
      <c r="GI183" s="112"/>
      <c r="GJ183" s="116"/>
      <c r="GK183" s="119">
        <f t="shared" si="58"/>
        <v>13.50086329</v>
      </c>
      <c r="GL183" s="128">
        <f>1+((GK183-MIN(ratings_sums))*(4)/(MAX(ratings_sums) - MIN(ratings_sums)))</f>
        <v>2.935200654</v>
      </c>
    </row>
    <row r="184" ht="15.75" customHeight="1">
      <c r="A184" s="161" t="s">
        <v>1128</v>
      </c>
      <c r="B184" s="15">
        <v>1789369.0</v>
      </c>
      <c r="C184" s="162" t="s">
        <v>1324</v>
      </c>
      <c r="D184" s="163">
        <v>43774.43958333333</v>
      </c>
      <c r="E184" s="15" t="s">
        <v>369</v>
      </c>
      <c r="F184" s="164" t="s">
        <v>1325</v>
      </c>
      <c r="G184" s="164" t="s">
        <v>1326</v>
      </c>
      <c r="H184" s="173">
        <v>43872.0</v>
      </c>
      <c r="I184" s="162" t="s">
        <v>1327</v>
      </c>
      <c r="J184" s="162" t="s">
        <v>1324</v>
      </c>
      <c r="K184" s="15" t="s">
        <v>463</v>
      </c>
      <c r="L184" s="15" t="s">
        <v>390</v>
      </c>
      <c r="M184" s="15" t="s">
        <v>81</v>
      </c>
      <c r="N184" s="15" t="s">
        <v>101</v>
      </c>
      <c r="O184" s="15" t="s">
        <v>35</v>
      </c>
      <c r="Q184" s="15" t="s">
        <v>195</v>
      </c>
      <c r="R184" s="166"/>
      <c r="S184" s="120"/>
      <c r="T184" s="69"/>
      <c r="U184" s="69">
        <v>5000000.0</v>
      </c>
      <c r="V184" s="132">
        <v>0.2</v>
      </c>
      <c r="W184" s="96">
        <f t="shared" si="125"/>
        <v>4000000</v>
      </c>
      <c r="X184" s="98">
        <f t="shared" si="126"/>
        <v>4000000</v>
      </c>
      <c r="Y184" s="99" t="str">
        <f t="shared" si="127"/>
        <v>$2M - $4M</v>
      </c>
      <c r="Z184" s="15" t="s">
        <v>86</v>
      </c>
      <c r="AA184" s="15" t="s">
        <v>87</v>
      </c>
      <c r="AB184" s="15" t="s">
        <v>38</v>
      </c>
      <c r="AC184" s="15" t="s">
        <v>493</v>
      </c>
      <c r="AD184" s="15" t="s">
        <v>89</v>
      </c>
      <c r="AE184" s="15" t="s">
        <v>89</v>
      </c>
      <c r="AF184" s="15" t="s">
        <v>469</v>
      </c>
      <c r="AG184" s="69">
        <v>2.40722E11</v>
      </c>
      <c r="AH184" s="97" t="str">
        <f t="shared" si="128"/>
        <v>$100B-$250B</v>
      </c>
      <c r="AI184" s="69">
        <v>6.792E10</v>
      </c>
      <c r="AJ184" s="97" t="str">
        <f t="shared" si="129"/>
        <v>$50B-$100B</v>
      </c>
      <c r="AK184" s="167">
        <v>0.02</v>
      </c>
      <c r="AL184" s="88" t="str">
        <f t="shared" si="130"/>
        <v>0%-10%</v>
      </c>
      <c r="AM184" s="15">
        <v>21.0</v>
      </c>
      <c r="AN184" s="15" t="s">
        <v>89</v>
      </c>
      <c r="AO184" s="15" t="s">
        <v>89</v>
      </c>
      <c r="AP184" s="15" t="s">
        <v>90</v>
      </c>
      <c r="AQ184" s="168"/>
      <c r="AR184" s="168"/>
      <c r="AS184" s="15" t="s">
        <v>493</v>
      </c>
      <c r="AT184" s="15" t="s">
        <v>469</v>
      </c>
      <c r="AU184" s="15" t="s">
        <v>493</v>
      </c>
      <c r="AV184" s="15" t="s">
        <v>493</v>
      </c>
      <c r="AW184" s="69">
        <v>1430801.0</v>
      </c>
      <c r="AX184" s="96" t="str">
        <f t="shared" si="131"/>
        <v>$1M - $2M</v>
      </c>
      <c r="AY184" s="69">
        <v>6336.0</v>
      </c>
      <c r="AZ184" s="69">
        <v>0.0</v>
      </c>
      <c r="BA184" s="103" t="str">
        <f t="shared" si="132"/>
        <v>&lt; $10K</v>
      </c>
      <c r="BB184" s="103">
        <f t="shared" si="133"/>
        <v>1</v>
      </c>
      <c r="BC184" s="103" t="str">
        <f t="shared" si="134"/>
        <v>90% - 100%</v>
      </c>
      <c r="BD184" s="15" t="s">
        <v>124</v>
      </c>
      <c r="BF184" s="15" t="s">
        <v>493</v>
      </c>
      <c r="BG184" s="15">
        <v>0.0</v>
      </c>
      <c r="BH184" s="15">
        <v>1.0</v>
      </c>
      <c r="BI184" s="15" t="s">
        <v>493</v>
      </c>
      <c r="BJ184" s="15" t="s">
        <v>493</v>
      </c>
      <c r="BK184" s="15" t="s">
        <v>493</v>
      </c>
      <c r="BL184" s="15" t="s">
        <v>469</v>
      </c>
      <c r="BM184" s="15">
        <v>2.0</v>
      </c>
      <c r="BN184" s="15">
        <v>8.0</v>
      </c>
      <c r="BO184" s="15">
        <v>0.0</v>
      </c>
      <c r="BP184" s="15">
        <v>0.0</v>
      </c>
      <c r="BQ184" s="108"/>
      <c r="BR184" s="15">
        <v>7.0</v>
      </c>
      <c r="BS184" s="15">
        <v>0.0</v>
      </c>
      <c r="BT184" s="15">
        <v>0.0</v>
      </c>
      <c r="BU184" s="15">
        <v>49.0</v>
      </c>
      <c r="BV184" s="15" t="s">
        <v>469</v>
      </c>
      <c r="BW184" s="108"/>
      <c r="CC184" s="108"/>
      <c r="CI184" s="108"/>
      <c r="CO184" s="108"/>
      <c r="CU184" s="108"/>
      <c r="DA184" s="108"/>
      <c r="DG184" s="108"/>
      <c r="DM184" s="108"/>
      <c r="DS184" s="108"/>
      <c r="DT184" s="108"/>
      <c r="DU184" s="108"/>
      <c r="DW184" s="109"/>
      <c r="DX184" s="110">
        <f t="shared" si="13"/>
        <v>7</v>
      </c>
      <c r="DY184" s="111">
        <f t="shared" ref="DY184:DZ184" si="427">sum(BS184,BY184,CE184,CK184,CQ184,CW184,DC184,DI184,DO184)</f>
        <v>0</v>
      </c>
      <c r="DZ184" s="111">
        <f t="shared" si="427"/>
        <v>0</v>
      </c>
      <c r="EA184" s="110">
        <f t="shared" si="15"/>
        <v>49</v>
      </c>
      <c r="EB184" s="99" t="str">
        <f t="shared" si="16"/>
        <v>35 - 54</v>
      </c>
      <c r="EC184" s="112"/>
      <c r="ED184" s="113">
        <f t="shared" si="17"/>
        <v>4.6</v>
      </c>
      <c r="EE184" s="114">
        <f>IF(V184 &lt;&gt; "", 1+((V184-MIN(discount_rates))*(4)/(MAX(discount_rates) - MIN(discount_rates))), "")</f>
        <v>3.105263158</v>
      </c>
      <c r="EF184" s="114" t="str">
        <f>IF(Q184="Debt", (1+((S184-MIN(interest_rates))*(4)/(MAX(interest_rates) - MIN(interest_rates)))), "")</f>
        <v/>
      </c>
      <c r="EG184" s="114" t="str">
        <f>IF(OR(Q184="Revenue Share", Q184="Profit Share"), (1+((R184-MIN(return_mutiples))*(4)/(MAX(return_mutiples) - MIN(return_mutiples)))), "")</f>
        <v/>
      </c>
      <c r="EH184" s="115">
        <f t="shared" si="18"/>
        <v>4.6</v>
      </c>
      <c r="EI184" s="116" t="str">
        <f t="shared" si="19"/>
        <v>SAFE</v>
      </c>
      <c r="EJ184" s="117">
        <f t="shared" si="20"/>
        <v>0.3561643836</v>
      </c>
      <c r="EK184" s="116" t="str">
        <f t="shared" si="21"/>
        <v>Growth</v>
      </c>
      <c r="EL184" s="112"/>
      <c r="EM184" s="118">
        <f t="shared" si="22"/>
        <v>3.9</v>
      </c>
      <c r="EN184" s="118">
        <f t="shared" si="23"/>
        <v>1.7</v>
      </c>
      <c r="EO184" s="119">
        <f t="shared" si="24"/>
        <v>5.6</v>
      </c>
      <c r="EP184" s="115">
        <f>1+((EO184-MIN(market_ratings_sums))*(4)/(MAX(market_ratings_sums) - MIN(market_ratings_sums)))</f>
        <v>3.035087719</v>
      </c>
      <c r="EQ184" s="116" t="str">
        <f t="shared" si="25"/>
        <v>Yes</v>
      </c>
      <c r="ER184" s="112"/>
      <c r="ES184" s="123">
        <f>1+((DX184-MIN(industry_experiences))*(4)/(MAX(industry_experiences) - MIN(industry_experiences)))</f>
        <v>1.666666667</v>
      </c>
      <c r="ET184" s="123">
        <f>1+((DY184-MIN(previous_startups))*(4)/(MAX(previous_startups) - MIN(previous_startups)))</f>
        <v>1</v>
      </c>
      <c r="EU184" s="123">
        <f>1+((DZ184-MIN(exits))*(4)/(MAX(exits) - MIN(exits)))</f>
        <v>1</v>
      </c>
      <c r="EV184" s="119">
        <f t="shared" si="26"/>
        <v>3.666666667</v>
      </c>
      <c r="EW184" s="124">
        <f>1+((EV184-MIN(team_ratings_sums))*(4)/(MAX(team_ratings_sums) - MIN(team_ratings_sums)))</f>
        <v>1.365217391</v>
      </c>
      <c r="EX184" s="116" t="str">
        <f t="shared" si="27"/>
        <v>35 - 54</v>
      </c>
      <c r="EY184" s="125">
        <f t="shared" si="28"/>
        <v>0.6849315068</v>
      </c>
      <c r="EZ184" s="116">
        <f t="shared" si="29"/>
        <v>1</v>
      </c>
      <c r="FA184" s="125">
        <f t="shared" si="30"/>
        <v>0.4383561644</v>
      </c>
      <c r="FB184" s="116">
        <f t="shared" si="31"/>
        <v>8</v>
      </c>
      <c r="FC184" s="125">
        <f t="shared" si="32"/>
        <v>0.05479452055</v>
      </c>
      <c r="FD184" s="116" t="str">
        <f t="shared" si="33"/>
        <v>Yes</v>
      </c>
      <c r="FE184" s="125">
        <f t="shared" si="34"/>
        <v>0.2465753425</v>
      </c>
      <c r="FF184" s="116" t="str">
        <f t="shared" ref="FF184:FH184" si="428">BJ184</f>
        <v>Yes</v>
      </c>
      <c r="FG184" s="116" t="str">
        <f t="shared" si="428"/>
        <v>Yes</v>
      </c>
      <c r="FH184" s="116" t="str">
        <f t="shared" si="428"/>
        <v>No</v>
      </c>
      <c r="FI184" s="112"/>
      <c r="FJ184" s="116" t="str">
        <f t="shared" si="36"/>
        <v>Recurring</v>
      </c>
      <c r="FK184" s="125">
        <f t="shared" si="37"/>
        <v>0.397260274</v>
      </c>
      <c r="FL184" s="116" t="str">
        <f t="shared" si="38"/>
        <v>B2C</v>
      </c>
      <c r="FM184" s="125">
        <f t="shared" si="39"/>
        <v>0.397260274</v>
      </c>
      <c r="FN184" s="116" t="str">
        <f t="shared" si="40"/>
        <v>Low</v>
      </c>
      <c r="FO184" s="125">
        <f t="shared" si="41"/>
        <v>0.4383561644</v>
      </c>
      <c r="FP184" s="116" t="str">
        <f t="shared" si="42"/>
        <v>Low</v>
      </c>
      <c r="FQ184" s="125">
        <f t="shared" si="43"/>
        <v>0.3561643836</v>
      </c>
      <c r="FR184" s="112"/>
      <c r="FS184" s="123">
        <f t="shared" si="44"/>
        <v>5</v>
      </c>
      <c r="FT184" s="123">
        <f t="shared" si="45"/>
        <v>3.2</v>
      </c>
      <c r="FU184" s="123">
        <f t="shared" si="46"/>
        <v>1</v>
      </c>
      <c r="FV184" s="123">
        <f t="shared" si="47"/>
        <v>5</v>
      </c>
      <c r="FW184" s="119">
        <f t="shared" si="48"/>
        <v>14.2</v>
      </c>
      <c r="FX184" s="115">
        <f>1+((FW184-MIN(performance_ratings_sums))*(4)/(MAX(performance_ratings_sums) - MIN(performance_ratings_sums)))</f>
        <v>3.803738318</v>
      </c>
      <c r="FY184" s="116" t="str">
        <f t="shared" si="49"/>
        <v>Profitable</v>
      </c>
      <c r="FZ184" s="126">
        <f t="shared" si="50"/>
        <v>0.06849315068</v>
      </c>
      <c r="GA184" s="112"/>
      <c r="GB184" s="127">
        <f t="shared" si="51"/>
        <v>1</v>
      </c>
      <c r="GC184" s="116" t="str">
        <f t="shared" si="52"/>
        <v>No</v>
      </c>
      <c r="GD184" s="126">
        <f t="shared" si="53"/>
        <v>0.7671232877</v>
      </c>
      <c r="GE184" s="126" t="str">
        <f t="shared" si="54"/>
        <v/>
      </c>
      <c r="GF184" s="126">
        <f t="shared" si="55"/>
        <v>0</v>
      </c>
      <c r="GG184" s="126" t="str">
        <f t="shared" si="56"/>
        <v/>
      </c>
      <c r="GH184" s="126">
        <f t="shared" si="57"/>
        <v>0</v>
      </c>
      <c r="GI184" s="112"/>
      <c r="GJ184" s="116"/>
      <c r="GK184" s="119">
        <f t="shared" si="58"/>
        <v>13.80404343</v>
      </c>
      <c r="GL184" s="128">
        <f>1+((GK184-MIN(ratings_sums))*(4)/(MAX(ratings_sums) - MIN(ratings_sums)))</f>
        <v>3.028228437</v>
      </c>
    </row>
    <row r="185" ht="15.75" customHeight="1">
      <c r="A185" s="161" t="s">
        <v>1128</v>
      </c>
      <c r="B185" s="15">
        <v>1706429.0</v>
      </c>
      <c r="C185" s="162" t="s">
        <v>1328</v>
      </c>
      <c r="D185" s="163">
        <v>43774.44375</v>
      </c>
      <c r="E185" s="15" t="s">
        <v>369</v>
      </c>
      <c r="F185" s="164" t="s">
        <v>1329</v>
      </c>
      <c r="G185" s="164" t="s">
        <v>1330</v>
      </c>
      <c r="H185" s="173">
        <v>43889.0</v>
      </c>
      <c r="I185" s="162" t="s">
        <v>1331</v>
      </c>
      <c r="J185" s="162" t="s">
        <v>1328</v>
      </c>
      <c r="K185" s="15" t="s">
        <v>549</v>
      </c>
      <c r="L185" s="15" t="s">
        <v>390</v>
      </c>
      <c r="M185" s="15" t="s">
        <v>31</v>
      </c>
      <c r="N185" s="15" t="s">
        <v>82</v>
      </c>
      <c r="O185" s="15" t="s">
        <v>35</v>
      </c>
      <c r="Q185" s="15" t="s">
        <v>195</v>
      </c>
      <c r="R185" s="166"/>
      <c r="S185" s="120"/>
      <c r="T185" s="69"/>
      <c r="U185" s="69">
        <v>5000000.0</v>
      </c>
      <c r="V185" s="132">
        <v>0.2</v>
      </c>
      <c r="W185" s="96">
        <f t="shared" si="125"/>
        <v>4000000</v>
      </c>
      <c r="X185" s="98">
        <f t="shared" si="126"/>
        <v>4000000</v>
      </c>
      <c r="Y185" s="99" t="str">
        <f t="shared" si="127"/>
        <v>$2M - $4M</v>
      </c>
      <c r="Z185" s="15" t="s">
        <v>36</v>
      </c>
      <c r="AA185" s="15" t="s">
        <v>123</v>
      </c>
      <c r="AB185" s="15" t="s">
        <v>38</v>
      </c>
      <c r="AC185" s="15" t="s">
        <v>493</v>
      </c>
      <c r="AD185" s="15" t="s">
        <v>89</v>
      </c>
      <c r="AE185" s="15" t="s">
        <v>89</v>
      </c>
      <c r="AF185" s="15" t="s">
        <v>469</v>
      </c>
      <c r="AG185" s="69">
        <v>1.142E11</v>
      </c>
      <c r="AH185" s="97" t="str">
        <f t="shared" si="128"/>
        <v>$100B-$250B</v>
      </c>
      <c r="AI185" s="69">
        <v>5.1E9</v>
      </c>
      <c r="AJ185" s="97" t="str">
        <f t="shared" si="129"/>
        <v>$5B-$10B</v>
      </c>
      <c r="AK185" s="167">
        <v>0.03</v>
      </c>
      <c r="AL185" s="88" t="str">
        <f t="shared" si="130"/>
        <v>0%-10%</v>
      </c>
      <c r="AM185" s="15">
        <v>10.0</v>
      </c>
      <c r="AN185" s="15" t="s">
        <v>89</v>
      </c>
      <c r="AO185" s="15" t="s">
        <v>89</v>
      </c>
      <c r="AP185" s="15" t="s">
        <v>40</v>
      </c>
      <c r="AQ185" s="168"/>
      <c r="AR185" s="168"/>
      <c r="AS185" s="15" t="s">
        <v>469</v>
      </c>
      <c r="AT185" s="15" t="s">
        <v>469</v>
      </c>
      <c r="AU185" s="15" t="s">
        <v>493</v>
      </c>
      <c r="AV185" s="15" t="s">
        <v>493</v>
      </c>
      <c r="AW185" s="69">
        <v>75515.0</v>
      </c>
      <c r="AX185" s="96" t="str">
        <f t="shared" si="131"/>
        <v>$50K - $100K</v>
      </c>
      <c r="AY185" s="69">
        <v>323.0</v>
      </c>
      <c r="AZ185" s="69">
        <v>104707.0</v>
      </c>
      <c r="BA185" s="103" t="str">
        <f t="shared" si="132"/>
        <v>$100K - $500K</v>
      </c>
      <c r="BB185" s="103">
        <f t="shared" si="133"/>
        <v>0.003084798533</v>
      </c>
      <c r="BC185" s="103" t="str">
        <f t="shared" si="134"/>
        <v>&lt; 10%</v>
      </c>
      <c r="BD185" s="15" t="s">
        <v>124</v>
      </c>
      <c r="BF185" s="15" t="s">
        <v>493</v>
      </c>
      <c r="BG185" s="15">
        <v>1.0</v>
      </c>
      <c r="BH185" s="15">
        <v>3.0</v>
      </c>
      <c r="BI185" s="15" t="s">
        <v>493</v>
      </c>
      <c r="BJ185" s="15" t="s">
        <v>493</v>
      </c>
      <c r="BK185" s="15" t="s">
        <v>493</v>
      </c>
      <c r="BL185" s="15" t="s">
        <v>469</v>
      </c>
      <c r="BM185" s="15">
        <v>4.0</v>
      </c>
      <c r="BN185" s="15">
        <v>4.0</v>
      </c>
      <c r="BO185" s="15">
        <v>0.0</v>
      </c>
      <c r="BP185" s="15">
        <v>0.0</v>
      </c>
      <c r="BQ185" s="108"/>
      <c r="BR185" s="15">
        <v>0.0</v>
      </c>
      <c r="BS185" s="15">
        <v>0.0</v>
      </c>
      <c r="BT185" s="15">
        <v>0.0</v>
      </c>
      <c r="BU185" s="15">
        <v>30.0</v>
      </c>
      <c r="BV185" s="15" t="s">
        <v>469</v>
      </c>
      <c r="BW185" s="108"/>
      <c r="BX185" s="15">
        <v>10.0</v>
      </c>
      <c r="BY185" s="15">
        <v>3.0</v>
      </c>
      <c r="BZ185" s="15">
        <v>0.0</v>
      </c>
      <c r="CA185" s="15">
        <v>43.0</v>
      </c>
      <c r="CB185" s="15" t="s">
        <v>469</v>
      </c>
      <c r="CC185" s="108"/>
      <c r="CD185" s="15">
        <v>9.0</v>
      </c>
      <c r="CE185" s="15">
        <v>2.0</v>
      </c>
      <c r="CF185" s="15">
        <v>0.0</v>
      </c>
      <c r="CG185" s="15">
        <v>43.0</v>
      </c>
      <c r="CH185" s="15" t="s">
        <v>469</v>
      </c>
      <c r="CI185" s="108"/>
      <c r="CO185" s="108"/>
      <c r="CU185" s="108"/>
      <c r="DA185" s="108"/>
      <c r="DG185" s="108"/>
      <c r="DM185" s="108"/>
      <c r="DS185" s="108"/>
      <c r="DT185" s="108"/>
      <c r="DU185" s="108"/>
      <c r="DW185" s="109"/>
      <c r="DX185" s="110">
        <f t="shared" si="13"/>
        <v>6.333333333</v>
      </c>
      <c r="DY185" s="111">
        <f t="shared" ref="DY185:DZ185" si="429">sum(BS185,BY185,CE185,CK185,CQ185,CW185,DC185,DI185,DO185)</f>
        <v>5</v>
      </c>
      <c r="DZ185" s="111">
        <f t="shared" si="429"/>
        <v>0</v>
      </c>
      <c r="EA185" s="110">
        <f t="shared" si="15"/>
        <v>38.66666667</v>
      </c>
      <c r="EB185" s="99" t="str">
        <f t="shared" si="16"/>
        <v>35 - 54</v>
      </c>
      <c r="EC185" s="112"/>
      <c r="ED185" s="113">
        <f t="shared" si="17"/>
        <v>4.6</v>
      </c>
      <c r="EE185" s="114">
        <f>IF(V185 &lt;&gt; "", 1+((V185-MIN(discount_rates))*(4)/(MAX(discount_rates) - MIN(discount_rates))), "")</f>
        <v>3.105263158</v>
      </c>
      <c r="EF185" s="114" t="str">
        <f>IF(Q185="Debt", (1+((S185-MIN(interest_rates))*(4)/(MAX(interest_rates) - MIN(interest_rates)))), "")</f>
        <v/>
      </c>
      <c r="EG185" s="114" t="str">
        <f>IF(OR(Q185="Revenue Share", Q185="Profit Share"), (1+((R185-MIN(return_mutiples))*(4)/(MAX(return_mutiples) - MIN(return_mutiples)))), "")</f>
        <v/>
      </c>
      <c r="EH185" s="115">
        <f t="shared" si="18"/>
        <v>4.6</v>
      </c>
      <c r="EI185" s="116" t="str">
        <f t="shared" si="19"/>
        <v>SAFE</v>
      </c>
      <c r="EJ185" s="117">
        <f t="shared" si="20"/>
        <v>0.3561643836</v>
      </c>
      <c r="EK185" s="116" t="str">
        <f t="shared" si="21"/>
        <v>Early</v>
      </c>
      <c r="EL185" s="112"/>
      <c r="EM185" s="118">
        <f t="shared" si="22"/>
        <v>3</v>
      </c>
      <c r="EN185" s="118">
        <f t="shared" si="23"/>
        <v>1.7</v>
      </c>
      <c r="EO185" s="119">
        <f t="shared" si="24"/>
        <v>4.7</v>
      </c>
      <c r="EP185" s="115">
        <f>1+((EO185-MIN(market_ratings_sums))*(4)/(MAX(market_ratings_sums) - MIN(market_ratings_sums)))</f>
        <v>2.403508772</v>
      </c>
      <c r="EQ185" s="116" t="str">
        <f t="shared" si="25"/>
        <v>No</v>
      </c>
      <c r="ER185" s="112"/>
      <c r="ES185" s="123">
        <f>1+((DX185-MIN(industry_experiences))*(4)/(MAX(industry_experiences) - MIN(industry_experiences)))</f>
        <v>1.603174603</v>
      </c>
      <c r="ET185" s="123">
        <f>1+((DY185-MIN(previous_startups))*(4)/(MAX(previous_startups) - MIN(previous_startups)))</f>
        <v>3.222222222</v>
      </c>
      <c r="EU185" s="123">
        <f>1+((DZ185-MIN(exits))*(4)/(MAX(exits) - MIN(exits)))</f>
        <v>1</v>
      </c>
      <c r="EV185" s="119">
        <f t="shared" si="26"/>
        <v>5.825396825</v>
      </c>
      <c r="EW185" s="124">
        <f>1+((EV185-MIN(team_ratings_sums))*(4)/(MAX(team_ratings_sums) - MIN(team_ratings_sums)))</f>
        <v>2.547826087</v>
      </c>
      <c r="EX185" s="116" t="str">
        <f t="shared" si="27"/>
        <v>35 - 54</v>
      </c>
      <c r="EY185" s="125">
        <f t="shared" si="28"/>
        <v>0.6849315068</v>
      </c>
      <c r="EZ185" s="116">
        <f t="shared" si="29"/>
        <v>3</v>
      </c>
      <c r="FA185" s="125">
        <f t="shared" si="30"/>
        <v>0.05479452055</v>
      </c>
      <c r="FB185" s="116">
        <f t="shared" si="31"/>
        <v>4</v>
      </c>
      <c r="FC185" s="125">
        <f t="shared" si="32"/>
        <v>0.1369863014</v>
      </c>
      <c r="FD185" s="116" t="str">
        <f t="shared" si="33"/>
        <v>Yes</v>
      </c>
      <c r="FE185" s="125">
        <f t="shared" si="34"/>
        <v>0.2465753425</v>
      </c>
      <c r="FF185" s="116" t="str">
        <f t="shared" ref="FF185:FH185" si="430">BJ185</f>
        <v>Yes</v>
      </c>
      <c r="FG185" s="116" t="str">
        <f t="shared" si="430"/>
        <v>Yes</v>
      </c>
      <c r="FH185" s="116" t="str">
        <f t="shared" si="430"/>
        <v>No</v>
      </c>
      <c r="FI185" s="112"/>
      <c r="FJ185" s="116" t="str">
        <f t="shared" si="36"/>
        <v>Transactional</v>
      </c>
      <c r="FK185" s="125">
        <f t="shared" si="37"/>
        <v>0.602739726</v>
      </c>
      <c r="FL185" s="116" t="str">
        <f t="shared" si="38"/>
        <v>B2B/B2C</v>
      </c>
      <c r="FM185" s="125">
        <f t="shared" si="39"/>
        <v>0.3287671233</v>
      </c>
      <c r="FN185" s="116" t="str">
        <f t="shared" si="40"/>
        <v>Low</v>
      </c>
      <c r="FO185" s="125">
        <f t="shared" si="41"/>
        <v>0.4383561644</v>
      </c>
      <c r="FP185" s="116" t="str">
        <f t="shared" si="42"/>
        <v>Low</v>
      </c>
      <c r="FQ185" s="125">
        <f t="shared" si="43"/>
        <v>0.3561643836</v>
      </c>
      <c r="FR185" s="112"/>
      <c r="FS185" s="123">
        <f t="shared" si="44"/>
        <v>5</v>
      </c>
      <c r="FT185" s="123">
        <f t="shared" si="45"/>
        <v>1.9</v>
      </c>
      <c r="FU185" s="123">
        <f t="shared" si="46"/>
        <v>5</v>
      </c>
      <c r="FV185" s="123">
        <f t="shared" si="47"/>
        <v>3.7</v>
      </c>
      <c r="FW185" s="119">
        <f t="shared" si="48"/>
        <v>15.6</v>
      </c>
      <c r="FX185" s="115">
        <f>1+((FW185-MIN(performance_ratings_sums))*(4)/(MAX(performance_ratings_sums) - MIN(performance_ratings_sums)))</f>
        <v>4.327102804</v>
      </c>
      <c r="FY185" s="116" t="str">
        <f t="shared" si="49"/>
        <v>Profitable</v>
      </c>
      <c r="FZ185" s="126">
        <f t="shared" si="50"/>
        <v>0.06849315068</v>
      </c>
      <c r="GA185" s="112"/>
      <c r="GB185" s="127">
        <f t="shared" si="51"/>
        <v>1</v>
      </c>
      <c r="GC185" s="116" t="str">
        <f t="shared" si="52"/>
        <v>No</v>
      </c>
      <c r="GD185" s="126">
        <f t="shared" si="53"/>
        <v>0.7671232877</v>
      </c>
      <c r="GE185" s="126" t="str">
        <f t="shared" si="54"/>
        <v/>
      </c>
      <c r="GF185" s="126">
        <f t="shared" si="55"/>
        <v>0</v>
      </c>
      <c r="GG185" s="126" t="str">
        <f t="shared" si="56"/>
        <v/>
      </c>
      <c r="GH185" s="126">
        <f t="shared" si="57"/>
        <v>0</v>
      </c>
      <c r="GI185" s="112"/>
      <c r="GJ185" s="116"/>
      <c r="GK185" s="119">
        <f t="shared" si="58"/>
        <v>14.87843766</v>
      </c>
      <c r="GL185" s="128">
        <f>1+((GK185-MIN(ratings_sums))*(4)/(MAX(ratings_sums) - MIN(ratings_sums)))</f>
        <v>3.357895529</v>
      </c>
    </row>
    <row r="186" ht="15.75" customHeight="1">
      <c r="A186" s="161" t="s">
        <v>1128</v>
      </c>
      <c r="B186" s="15">
        <v>1792908.0</v>
      </c>
      <c r="C186" s="162" t="s">
        <v>1332</v>
      </c>
      <c r="D186" s="163">
        <v>43776.464583333334</v>
      </c>
      <c r="E186" s="15" t="s">
        <v>230</v>
      </c>
      <c r="F186" s="164" t="s">
        <v>1333</v>
      </c>
      <c r="G186" s="164" t="s">
        <v>1334</v>
      </c>
      <c r="H186" s="173">
        <v>43788.0</v>
      </c>
      <c r="I186" s="162" t="s">
        <v>1335</v>
      </c>
      <c r="J186" s="162"/>
      <c r="K186" s="15" t="s">
        <v>459</v>
      </c>
      <c r="L186" s="15" t="s">
        <v>362</v>
      </c>
      <c r="M186" s="15" t="s">
        <v>31</v>
      </c>
      <c r="N186" s="15" t="s">
        <v>32</v>
      </c>
      <c r="O186" s="15" t="s">
        <v>35</v>
      </c>
      <c r="Q186" s="15" t="s">
        <v>121</v>
      </c>
      <c r="R186" s="166"/>
      <c r="S186" s="120"/>
      <c r="T186" s="69">
        <v>1.0E7</v>
      </c>
      <c r="U186" s="69"/>
      <c r="V186" s="132"/>
      <c r="W186" s="96" t="str">
        <f t="shared" si="125"/>
        <v/>
      </c>
      <c r="X186" s="98">
        <f t="shared" si="126"/>
        <v>10000000</v>
      </c>
      <c r="Y186" s="99" t="str">
        <f t="shared" si="127"/>
        <v>$8M - $10M</v>
      </c>
      <c r="Z186" s="15" t="s">
        <v>86</v>
      </c>
      <c r="AA186" s="15" t="s">
        <v>37</v>
      </c>
      <c r="AB186" s="15" t="s">
        <v>88</v>
      </c>
      <c r="AC186" s="15" t="s">
        <v>493</v>
      </c>
      <c r="AD186" s="15" t="s">
        <v>39</v>
      </c>
      <c r="AE186" s="15" t="s">
        <v>89</v>
      </c>
      <c r="AF186" s="15" t="s">
        <v>469</v>
      </c>
      <c r="AG186" s="69">
        <v>1.4664E10</v>
      </c>
      <c r="AH186" s="97" t="str">
        <f t="shared" si="128"/>
        <v>$10B-$25B</v>
      </c>
      <c r="AI186" s="69">
        <v>1.4664E10</v>
      </c>
      <c r="AJ186" s="97" t="str">
        <f t="shared" si="129"/>
        <v>$10B-$25B</v>
      </c>
      <c r="AK186" s="167">
        <v>0.06</v>
      </c>
      <c r="AL186" s="88" t="str">
        <f t="shared" si="130"/>
        <v>0%-10%</v>
      </c>
      <c r="AM186" s="15">
        <v>30.0</v>
      </c>
      <c r="AN186" s="15" t="s">
        <v>89</v>
      </c>
      <c r="AO186" s="15" t="s">
        <v>89</v>
      </c>
      <c r="AP186" s="15" t="s">
        <v>40</v>
      </c>
      <c r="AQ186" s="168"/>
      <c r="AR186" s="168"/>
      <c r="AS186" s="15" t="s">
        <v>469</v>
      </c>
      <c r="AT186" s="15" t="s">
        <v>493</v>
      </c>
      <c r="AU186" s="15" t="s">
        <v>493</v>
      </c>
      <c r="AV186" s="15" t="s">
        <v>469</v>
      </c>
      <c r="AW186" s="69">
        <v>0.0</v>
      </c>
      <c r="AX186" s="96" t="str">
        <f t="shared" si="131"/>
        <v>&lt; $10K</v>
      </c>
      <c r="AY186" s="69">
        <v>0.0</v>
      </c>
      <c r="AZ186" s="69">
        <v>0.0</v>
      </c>
      <c r="BA186" s="103" t="str">
        <f t="shared" si="132"/>
        <v>&lt; $10K</v>
      </c>
      <c r="BB186" s="103">
        <f t="shared" si="133"/>
        <v>1</v>
      </c>
      <c r="BC186" s="103" t="str">
        <f t="shared" si="134"/>
        <v>90% - 100%</v>
      </c>
      <c r="BD186" s="15" t="s">
        <v>91</v>
      </c>
      <c r="BF186" s="15" t="s">
        <v>469</v>
      </c>
      <c r="BG186" s="15">
        <v>0.0</v>
      </c>
      <c r="BH186" s="15">
        <v>1.0</v>
      </c>
      <c r="BI186" s="15" t="s">
        <v>493</v>
      </c>
      <c r="BJ186" s="15" t="s">
        <v>469</v>
      </c>
      <c r="BK186" s="15" t="s">
        <v>493</v>
      </c>
      <c r="BL186" s="15" t="s">
        <v>469</v>
      </c>
      <c r="BM186" s="15">
        <v>3.0</v>
      </c>
      <c r="BN186" s="15">
        <v>14.0</v>
      </c>
      <c r="BO186" s="15">
        <v>0.0</v>
      </c>
      <c r="BP186" s="15">
        <v>0.0</v>
      </c>
      <c r="BQ186" s="108"/>
      <c r="BR186" s="15">
        <v>10.0</v>
      </c>
      <c r="BS186" s="15">
        <v>2.0</v>
      </c>
      <c r="BT186" s="15">
        <v>0.0</v>
      </c>
      <c r="BU186" s="15">
        <v>38.0</v>
      </c>
      <c r="BV186" s="15" t="s">
        <v>493</v>
      </c>
      <c r="BW186" s="108"/>
      <c r="CC186" s="108"/>
      <c r="CI186" s="108"/>
      <c r="CO186" s="108"/>
      <c r="CU186" s="108"/>
      <c r="DA186" s="108"/>
      <c r="DG186" s="108"/>
      <c r="DM186" s="108"/>
      <c r="DS186" s="108"/>
      <c r="DT186" s="108"/>
      <c r="DU186" s="108"/>
      <c r="DW186" s="109"/>
      <c r="DX186" s="110">
        <f t="shared" si="13"/>
        <v>10</v>
      </c>
      <c r="DY186" s="111">
        <f t="shared" ref="DY186:DZ186" si="431">sum(BS186,BY186,CE186,CK186,CQ186,CW186,DC186,DI186,DO186)</f>
        <v>2</v>
      </c>
      <c r="DZ186" s="111">
        <f t="shared" si="431"/>
        <v>0</v>
      </c>
      <c r="EA186" s="110">
        <f t="shared" si="15"/>
        <v>38</v>
      </c>
      <c r="EB186" s="99" t="str">
        <f t="shared" si="16"/>
        <v>35 - 54</v>
      </c>
      <c r="EC186" s="112"/>
      <c r="ED186" s="113">
        <f t="shared" si="17"/>
        <v>4</v>
      </c>
      <c r="EE186" s="114" t="str">
        <f>IF(V186 &lt;&gt; "", 1+((V186-MIN(discount_rates))*(4)/(MAX(discount_rates) - MIN(discount_rates))), "")</f>
        <v/>
      </c>
      <c r="EF186" s="114" t="str">
        <f>IF(Q186="Debt", (1+((S186-MIN(interest_rates))*(4)/(MAX(interest_rates) - MIN(interest_rates)))), "")</f>
        <v/>
      </c>
      <c r="EG186" s="114" t="str">
        <f>IF(OR(Q186="Revenue Share", Q186="Profit Share"), (1+((R186-MIN(return_mutiples))*(4)/(MAX(return_mutiples) - MIN(return_mutiples)))), "")</f>
        <v/>
      </c>
      <c r="EH186" s="115">
        <f t="shared" si="18"/>
        <v>4</v>
      </c>
      <c r="EI186" s="116" t="str">
        <f t="shared" si="19"/>
        <v>Equity - Common</v>
      </c>
      <c r="EJ186" s="117">
        <f t="shared" si="20"/>
        <v>0.3287671233</v>
      </c>
      <c r="EK186" s="116" t="str">
        <f t="shared" si="21"/>
        <v>Early</v>
      </c>
      <c r="EL186" s="112"/>
      <c r="EM186" s="118">
        <f t="shared" si="22"/>
        <v>3.3</v>
      </c>
      <c r="EN186" s="118">
        <f t="shared" si="23"/>
        <v>1.7</v>
      </c>
      <c r="EO186" s="119">
        <f t="shared" si="24"/>
        <v>5</v>
      </c>
      <c r="EP186" s="115">
        <f>1+((EO186-MIN(market_ratings_sums))*(4)/(MAX(market_ratings_sums) - MIN(market_ratings_sums)))</f>
        <v>2.614035088</v>
      </c>
      <c r="EQ186" s="116" t="str">
        <f t="shared" si="25"/>
        <v>No</v>
      </c>
      <c r="ER186" s="112"/>
      <c r="ES186" s="123">
        <f>1+((DX186-MIN(industry_experiences))*(4)/(MAX(industry_experiences) - MIN(industry_experiences)))</f>
        <v>1.952380952</v>
      </c>
      <c r="ET186" s="123">
        <f>1+((DY186-MIN(previous_startups))*(4)/(MAX(previous_startups) - MIN(previous_startups)))</f>
        <v>1.888888889</v>
      </c>
      <c r="EU186" s="123">
        <f>1+((DZ186-MIN(exits))*(4)/(MAX(exits) - MIN(exits)))</f>
        <v>1</v>
      </c>
      <c r="EV186" s="119">
        <f t="shared" si="26"/>
        <v>4.841269841</v>
      </c>
      <c r="EW186" s="124">
        <f>1+((EV186-MIN(team_ratings_sums))*(4)/(MAX(team_ratings_sums) - MIN(team_ratings_sums)))</f>
        <v>2.008695652</v>
      </c>
      <c r="EX186" s="116" t="str">
        <f t="shared" si="27"/>
        <v>35 - 54</v>
      </c>
      <c r="EY186" s="125">
        <f t="shared" si="28"/>
        <v>0.6849315068</v>
      </c>
      <c r="EZ186" s="116">
        <f t="shared" si="29"/>
        <v>1</v>
      </c>
      <c r="FA186" s="125">
        <f t="shared" si="30"/>
        <v>0.4383561644</v>
      </c>
      <c r="FB186" s="116">
        <f t="shared" si="31"/>
        <v>14</v>
      </c>
      <c r="FC186" s="125">
        <f t="shared" si="32"/>
        <v>0.02739726027</v>
      </c>
      <c r="FD186" s="116" t="str">
        <f t="shared" si="33"/>
        <v>Yes</v>
      </c>
      <c r="FE186" s="125">
        <f t="shared" si="34"/>
        <v>0.2465753425</v>
      </c>
      <c r="FF186" s="116" t="str">
        <f t="shared" ref="FF186:FH186" si="432">BJ186</f>
        <v>No</v>
      </c>
      <c r="FG186" s="116" t="str">
        <f t="shared" si="432"/>
        <v>Yes</v>
      </c>
      <c r="FH186" s="116" t="str">
        <f t="shared" si="432"/>
        <v>No</v>
      </c>
      <c r="FI186" s="112"/>
      <c r="FJ186" s="116" t="str">
        <f t="shared" si="36"/>
        <v>Recurring</v>
      </c>
      <c r="FK186" s="125">
        <f t="shared" si="37"/>
        <v>0.397260274</v>
      </c>
      <c r="FL186" s="116" t="str">
        <f t="shared" si="38"/>
        <v>B2B</v>
      </c>
      <c r="FM186" s="125">
        <f t="shared" si="39"/>
        <v>0.2465753425</v>
      </c>
      <c r="FN186" s="116" t="str">
        <f t="shared" si="40"/>
        <v>High</v>
      </c>
      <c r="FO186" s="125">
        <f t="shared" si="41"/>
        <v>0.5616438356</v>
      </c>
      <c r="FP186" s="116" t="str">
        <f t="shared" si="42"/>
        <v>Low</v>
      </c>
      <c r="FQ186" s="125">
        <f t="shared" si="43"/>
        <v>0.3561643836</v>
      </c>
      <c r="FR186" s="112"/>
      <c r="FS186" s="123">
        <f t="shared" si="44"/>
        <v>3</v>
      </c>
      <c r="FT186" s="123">
        <f t="shared" si="45"/>
        <v>1</v>
      </c>
      <c r="FU186" s="123">
        <f t="shared" si="46"/>
        <v>1</v>
      </c>
      <c r="FV186" s="123">
        <f t="shared" si="47"/>
        <v>5</v>
      </c>
      <c r="FW186" s="119">
        <f t="shared" si="48"/>
        <v>10</v>
      </c>
      <c r="FX186" s="115">
        <f>1+((FW186-MIN(performance_ratings_sums))*(4)/(MAX(performance_ratings_sums) - MIN(performance_ratings_sums)))</f>
        <v>2.23364486</v>
      </c>
      <c r="FY186" s="116" t="str">
        <f t="shared" si="49"/>
        <v>Pre-Revenue</v>
      </c>
      <c r="FZ186" s="126">
        <f t="shared" si="50"/>
        <v>0.2054794521</v>
      </c>
      <c r="GA186" s="112"/>
      <c r="GB186" s="127">
        <f t="shared" si="51"/>
        <v>1</v>
      </c>
      <c r="GC186" s="116" t="str">
        <f t="shared" si="52"/>
        <v>Yes</v>
      </c>
      <c r="GD186" s="126">
        <f t="shared" si="53"/>
        <v>0.2328767123</v>
      </c>
      <c r="GE186" s="126" t="str">
        <f t="shared" si="54"/>
        <v/>
      </c>
      <c r="GF186" s="126">
        <f t="shared" si="55"/>
        <v>0</v>
      </c>
      <c r="GG186" s="126" t="str">
        <f t="shared" si="56"/>
        <v/>
      </c>
      <c r="GH186" s="126">
        <f t="shared" si="57"/>
        <v>0</v>
      </c>
      <c r="GI186" s="112"/>
      <c r="GJ186" s="116"/>
      <c r="GK186" s="119">
        <f t="shared" si="58"/>
        <v>11.8563756</v>
      </c>
      <c r="GL186" s="128">
        <f>1+((GK186-MIN(ratings_sums))*(4)/(MAX(ratings_sums) - MIN(ratings_sums)))</f>
        <v>2.430606104</v>
      </c>
    </row>
    <row r="187" ht="15.75" customHeight="1">
      <c r="A187" s="161" t="s">
        <v>1128</v>
      </c>
      <c r="B187" s="15">
        <v>1730695.0</v>
      </c>
      <c r="C187" s="162" t="s">
        <v>1336</v>
      </c>
      <c r="D187" s="163">
        <v>43777.41458333333</v>
      </c>
      <c r="E187" s="15" t="s">
        <v>369</v>
      </c>
      <c r="F187" s="164" t="s">
        <v>1337</v>
      </c>
      <c r="G187" s="164" t="s">
        <v>1338</v>
      </c>
      <c r="H187" s="173">
        <v>43788.0</v>
      </c>
      <c r="I187" s="162" t="s">
        <v>1339</v>
      </c>
      <c r="J187" s="162" t="s">
        <v>1336</v>
      </c>
      <c r="K187" s="15" t="s">
        <v>445</v>
      </c>
      <c r="L187" s="15" t="s">
        <v>221</v>
      </c>
      <c r="M187" s="15" t="s">
        <v>81</v>
      </c>
      <c r="N187" s="15" t="s">
        <v>82</v>
      </c>
      <c r="O187" s="15" t="s">
        <v>35</v>
      </c>
      <c r="Q187" s="15" t="s">
        <v>195</v>
      </c>
      <c r="R187" s="166"/>
      <c r="S187" s="120"/>
      <c r="T187" s="69"/>
      <c r="U187" s="69">
        <v>1.5E7</v>
      </c>
      <c r="V187" s="132">
        <v>0.2</v>
      </c>
      <c r="W187" s="96">
        <f t="shared" si="125"/>
        <v>12000000</v>
      </c>
      <c r="X187" s="98">
        <f t="shared" si="126"/>
        <v>12000000</v>
      </c>
      <c r="Y187" s="99" t="str">
        <f t="shared" si="127"/>
        <v>$10M - $12M</v>
      </c>
      <c r="Z187" s="15" t="s">
        <v>86</v>
      </c>
      <c r="AA187" s="15" t="s">
        <v>87</v>
      </c>
      <c r="AB187" s="15" t="s">
        <v>88</v>
      </c>
      <c r="AC187" s="15" t="s">
        <v>493</v>
      </c>
      <c r="AD187" s="15" t="s">
        <v>39</v>
      </c>
      <c r="AE187" s="15" t="s">
        <v>89</v>
      </c>
      <c r="AF187" s="15" t="s">
        <v>469</v>
      </c>
      <c r="AG187" s="69">
        <v>6.6E10</v>
      </c>
      <c r="AH187" s="97" t="str">
        <f t="shared" si="128"/>
        <v>$50B-$100B</v>
      </c>
      <c r="AI187" s="69">
        <v>6.6E10</v>
      </c>
      <c r="AJ187" s="97" t="str">
        <f t="shared" si="129"/>
        <v>$50B-$100B</v>
      </c>
      <c r="AK187" s="167">
        <v>0.11</v>
      </c>
      <c r="AL187" s="88" t="str">
        <f t="shared" si="130"/>
        <v>10%-20%</v>
      </c>
      <c r="AM187" s="15">
        <v>5.0</v>
      </c>
      <c r="AN187" s="15" t="s">
        <v>89</v>
      </c>
      <c r="AO187" s="15" t="s">
        <v>89</v>
      </c>
      <c r="AP187" s="15" t="s">
        <v>40</v>
      </c>
      <c r="AQ187" s="168"/>
      <c r="AR187" s="168"/>
      <c r="AS187" s="15" t="s">
        <v>469</v>
      </c>
      <c r="AT187" s="15" t="s">
        <v>493</v>
      </c>
      <c r="AU187" s="15" t="s">
        <v>493</v>
      </c>
      <c r="AV187" s="15" t="s">
        <v>493</v>
      </c>
      <c r="AW187" s="69">
        <v>1201406.0</v>
      </c>
      <c r="AX187" s="96" t="str">
        <f t="shared" si="131"/>
        <v>$1M - $2M</v>
      </c>
      <c r="AY187" s="69">
        <v>4539.0</v>
      </c>
      <c r="AZ187" s="69">
        <v>0.0</v>
      </c>
      <c r="BA187" s="103" t="str">
        <f t="shared" si="132"/>
        <v>&lt; $10K</v>
      </c>
      <c r="BB187" s="103">
        <f t="shared" si="133"/>
        <v>1</v>
      </c>
      <c r="BC187" s="103" t="str">
        <f t="shared" si="134"/>
        <v>90% - 100%</v>
      </c>
      <c r="BD187" s="15" t="s">
        <v>124</v>
      </c>
      <c r="BF187" s="15" t="s">
        <v>493</v>
      </c>
      <c r="BG187" s="15">
        <v>1.0</v>
      </c>
      <c r="BH187" s="15">
        <v>2.0</v>
      </c>
      <c r="BI187" s="15" t="s">
        <v>493</v>
      </c>
      <c r="BJ187" s="15" t="s">
        <v>469</v>
      </c>
      <c r="BK187" s="15" t="s">
        <v>469</v>
      </c>
      <c r="BL187" s="15" t="s">
        <v>469</v>
      </c>
      <c r="BM187" s="15">
        <v>1.0</v>
      </c>
      <c r="BN187" s="15">
        <v>17.0</v>
      </c>
      <c r="BO187" s="15">
        <v>0.0</v>
      </c>
      <c r="BP187" s="15">
        <v>0.0</v>
      </c>
      <c r="BQ187" s="108"/>
      <c r="BR187" s="15">
        <v>2.0</v>
      </c>
      <c r="BS187" s="15">
        <v>1.0</v>
      </c>
      <c r="BT187" s="15">
        <v>0.0</v>
      </c>
      <c r="BU187" s="15">
        <v>37.0</v>
      </c>
      <c r="BV187" s="15" t="s">
        <v>469</v>
      </c>
      <c r="BW187" s="108"/>
      <c r="BX187" s="15">
        <v>2.0</v>
      </c>
      <c r="BY187" s="15">
        <v>0.0</v>
      </c>
      <c r="BZ187" s="15">
        <v>0.0</v>
      </c>
      <c r="CA187" s="15">
        <v>33.0</v>
      </c>
      <c r="CB187" s="15" t="s">
        <v>469</v>
      </c>
      <c r="CC187" s="108"/>
      <c r="CI187" s="108"/>
      <c r="CO187" s="108"/>
      <c r="CU187" s="108"/>
      <c r="DA187" s="108"/>
      <c r="DG187" s="108"/>
      <c r="DM187" s="108"/>
      <c r="DS187" s="108"/>
      <c r="DT187" s="108"/>
      <c r="DU187" s="108"/>
      <c r="DW187" s="109"/>
      <c r="DX187" s="110">
        <f t="shared" si="13"/>
        <v>2</v>
      </c>
      <c r="DY187" s="111">
        <f t="shared" ref="DY187:DZ187" si="433">sum(BS187,BY187,CE187,CK187,CQ187,CW187,DC187,DI187,DO187)</f>
        <v>1</v>
      </c>
      <c r="DZ187" s="111">
        <f t="shared" si="433"/>
        <v>0</v>
      </c>
      <c r="EA187" s="110">
        <f t="shared" si="15"/>
        <v>35</v>
      </c>
      <c r="EB187" s="99" t="str">
        <f t="shared" si="16"/>
        <v>35 - 54</v>
      </c>
      <c r="EC187" s="112"/>
      <c r="ED187" s="113">
        <f t="shared" si="17"/>
        <v>3.9</v>
      </c>
      <c r="EE187" s="114">
        <f>IF(V187 &lt;&gt; "", 1+((V187-MIN(discount_rates))*(4)/(MAX(discount_rates) - MIN(discount_rates))), "")</f>
        <v>3.105263158</v>
      </c>
      <c r="EF187" s="114" t="str">
        <f>IF(Q187="Debt", (1+((S187-MIN(interest_rates))*(4)/(MAX(interest_rates) - MIN(interest_rates)))), "")</f>
        <v/>
      </c>
      <c r="EG187" s="114" t="str">
        <f>IF(OR(Q187="Revenue Share", Q187="Profit Share"), (1+((R187-MIN(return_mutiples))*(4)/(MAX(return_mutiples) - MIN(return_mutiples)))), "")</f>
        <v/>
      </c>
      <c r="EH187" s="115">
        <f t="shared" si="18"/>
        <v>3.9</v>
      </c>
      <c r="EI187" s="116" t="str">
        <f t="shared" si="19"/>
        <v>SAFE</v>
      </c>
      <c r="EJ187" s="117">
        <f t="shared" si="20"/>
        <v>0.3561643836</v>
      </c>
      <c r="EK187" s="116" t="str">
        <f t="shared" si="21"/>
        <v>Growth</v>
      </c>
      <c r="EL187" s="112"/>
      <c r="EM187" s="118">
        <f t="shared" si="22"/>
        <v>3.9</v>
      </c>
      <c r="EN187" s="118">
        <f t="shared" si="23"/>
        <v>2.3</v>
      </c>
      <c r="EO187" s="119">
        <f t="shared" si="24"/>
        <v>6.2</v>
      </c>
      <c r="EP187" s="115">
        <f>1+((EO187-MIN(market_ratings_sums))*(4)/(MAX(market_ratings_sums) - MIN(market_ratings_sums)))</f>
        <v>3.456140351</v>
      </c>
      <c r="EQ187" s="116" t="str">
        <f t="shared" si="25"/>
        <v>No</v>
      </c>
      <c r="ER187" s="112"/>
      <c r="ES187" s="123">
        <f>1+((DX187-MIN(industry_experiences))*(4)/(MAX(industry_experiences) - MIN(industry_experiences)))</f>
        <v>1.19047619</v>
      </c>
      <c r="ET187" s="123">
        <f>1+((DY187-MIN(previous_startups))*(4)/(MAX(previous_startups) - MIN(previous_startups)))</f>
        <v>1.444444444</v>
      </c>
      <c r="EU187" s="123">
        <f>1+((DZ187-MIN(exits))*(4)/(MAX(exits) - MIN(exits)))</f>
        <v>1</v>
      </c>
      <c r="EV187" s="119">
        <f t="shared" si="26"/>
        <v>3.634920635</v>
      </c>
      <c r="EW187" s="124">
        <f>1+((EV187-MIN(team_ratings_sums))*(4)/(MAX(team_ratings_sums) - MIN(team_ratings_sums)))</f>
        <v>1.347826087</v>
      </c>
      <c r="EX187" s="116" t="str">
        <f t="shared" si="27"/>
        <v>35 - 54</v>
      </c>
      <c r="EY187" s="125">
        <f t="shared" si="28"/>
        <v>0.6849315068</v>
      </c>
      <c r="EZ187" s="116">
        <f t="shared" si="29"/>
        <v>2</v>
      </c>
      <c r="FA187" s="125">
        <f t="shared" si="30"/>
        <v>0.4520547945</v>
      </c>
      <c r="FB187" s="116">
        <f t="shared" si="31"/>
        <v>17</v>
      </c>
      <c r="FC187" s="125">
        <f t="shared" si="32"/>
        <v>0</v>
      </c>
      <c r="FD187" s="116" t="str">
        <f t="shared" si="33"/>
        <v>Yes</v>
      </c>
      <c r="FE187" s="125">
        <f t="shared" si="34"/>
        <v>0.2465753425</v>
      </c>
      <c r="FF187" s="116" t="str">
        <f t="shared" ref="FF187:FH187" si="434">BJ187</f>
        <v>No</v>
      </c>
      <c r="FG187" s="116" t="str">
        <f t="shared" si="434"/>
        <v>No</v>
      </c>
      <c r="FH187" s="116" t="str">
        <f t="shared" si="434"/>
        <v>No</v>
      </c>
      <c r="FI187" s="112"/>
      <c r="FJ187" s="116" t="str">
        <f t="shared" si="36"/>
        <v>Recurring</v>
      </c>
      <c r="FK187" s="125">
        <f t="shared" si="37"/>
        <v>0.397260274</v>
      </c>
      <c r="FL187" s="116" t="str">
        <f t="shared" si="38"/>
        <v>B2C</v>
      </c>
      <c r="FM187" s="125">
        <f t="shared" si="39"/>
        <v>0.397260274</v>
      </c>
      <c r="FN187" s="116" t="str">
        <f t="shared" si="40"/>
        <v>High</v>
      </c>
      <c r="FO187" s="125">
        <f t="shared" si="41"/>
        <v>0.5616438356</v>
      </c>
      <c r="FP187" s="116" t="str">
        <f t="shared" si="42"/>
        <v>Low</v>
      </c>
      <c r="FQ187" s="125">
        <f t="shared" si="43"/>
        <v>0.3561643836</v>
      </c>
      <c r="FR187" s="112"/>
      <c r="FS187" s="123">
        <f t="shared" si="44"/>
        <v>5</v>
      </c>
      <c r="FT187" s="123">
        <f t="shared" si="45"/>
        <v>3.2</v>
      </c>
      <c r="FU187" s="123">
        <f t="shared" si="46"/>
        <v>1</v>
      </c>
      <c r="FV187" s="123">
        <f t="shared" si="47"/>
        <v>5</v>
      </c>
      <c r="FW187" s="119">
        <f t="shared" si="48"/>
        <v>14.2</v>
      </c>
      <c r="FX187" s="115">
        <f>1+((FW187-MIN(performance_ratings_sums))*(4)/(MAX(performance_ratings_sums) - MIN(performance_ratings_sums)))</f>
        <v>3.803738318</v>
      </c>
      <c r="FY187" s="116" t="str">
        <f t="shared" si="49"/>
        <v>Profitable</v>
      </c>
      <c r="FZ187" s="126">
        <f t="shared" si="50"/>
        <v>0.06849315068</v>
      </c>
      <c r="GA187" s="112"/>
      <c r="GB187" s="127">
        <f t="shared" si="51"/>
        <v>1</v>
      </c>
      <c r="GC187" s="116" t="str">
        <f t="shared" si="52"/>
        <v>Yes</v>
      </c>
      <c r="GD187" s="126">
        <f t="shared" si="53"/>
        <v>0.2328767123</v>
      </c>
      <c r="GE187" s="126" t="str">
        <f t="shared" si="54"/>
        <v/>
      </c>
      <c r="GF187" s="126">
        <f t="shared" si="55"/>
        <v>0</v>
      </c>
      <c r="GG187" s="126" t="str">
        <f t="shared" si="56"/>
        <v/>
      </c>
      <c r="GH187" s="126">
        <f t="shared" si="57"/>
        <v>0</v>
      </c>
      <c r="GI187" s="112"/>
      <c r="GJ187" s="116"/>
      <c r="GK187" s="119">
        <f t="shared" si="58"/>
        <v>13.50770476</v>
      </c>
      <c r="GL187" s="128">
        <f>1+((GK187-MIN(ratings_sums))*(4)/(MAX(ratings_sums) - MIN(ratings_sums)))</f>
        <v>2.937299888</v>
      </c>
    </row>
    <row r="188" ht="15.75" customHeight="1">
      <c r="A188" s="161" t="s">
        <v>1128</v>
      </c>
      <c r="B188" s="15">
        <v>1764730.0</v>
      </c>
      <c r="C188" s="162" t="s">
        <v>1340</v>
      </c>
      <c r="D188" s="163">
        <v>43780.41736111111</v>
      </c>
      <c r="E188" s="15" t="s">
        <v>369</v>
      </c>
      <c r="F188" s="164" t="s">
        <v>1341</v>
      </c>
      <c r="G188" s="164" t="s">
        <v>1342</v>
      </c>
      <c r="H188" s="173">
        <v>43777.0</v>
      </c>
      <c r="I188" s="162" t="s">
        <v>1343</v>
      </c>
      <c r="J188" s="162" t="s">
        <v>1340</v>
      </c>
      <c r="K188" s="15" t="s">
        <v>529</v>
      </c>
      <c r="L188" s="15" t="s">
        <v>390</v>
      </c>
      <c r="M188" s="15" t="s">
        <v>81</v>
      </c>
      <c r="N188" s="15" t="s">
        <v>82</v>
      </c>
      <c r="O188" s="15" t="s">
        <v>35</v>
      </c>
      <c r="Q188" s="15" t="s">
        <v>195</v>
      </c>
      <c r="R188" s="166"/>
      <c r="S188" s="120"/>
      <c r="T188" s="69"/>
      <c r="U188" s="69">
        <v>9000000.0</v>
      </c>
      <c r="V188" s="132">
        <v>0.2</v>
      </c>
      <c r="W188" s="96">
        <f t="shared" si="125"/>
        <v>7200000</v>
      </c>
      <c r="X188" s="98">
        <f t="shared" si="126"/>
        <v>7200000</v>
      </c>
      <c r="Y188" s="99" t="str">
        <f t="shared" si="127"/>
        <v>$6M - $8M</v>
      </c>
      <c r="Z188" s="15" t="s">
        <v>36</v>
      </c>
      <c r="AA188" s="15" t="s">
        <v>87</v>
      </c>
      <c r="AB188" s="15" t="s">
        <v>38</v>
      </c>
      <c r="AC188" s="15" t="s">
        <v>493</v>
      </c>
      <c r="AD188" s="15" t="s">
        <v>89</v>
      </c>
      <c r="AE188" s="15" t="s">
        <v>89</v>
      </c>
      <c r="AF188" s="15" t="s">
        <v>469</v>
      </c>
      <c r="AG188" s="69">
        <v>5.94E10</v>
      </c>
      <c r="AH188" s="97" t="str">
        <f t="shared" si="128"/>
        <v>$50B-$100B</v>
      </c>
      <c r="AI188" s="69">
        <v>5.94E10</v>
      </c>
      <c r="AJ188" s="97" t="str">
        <f t="shared" si="129"/>
        <v>$50B-$100B</v>
      </c>
      <c r="AK188" s="167">
        <v>0.08</v>
      </c>
      <c r="AL188" s="88" t="str">
        <f t="shared" si="130"/>
        <v>0%-10%</v>
      </c>
      <c r="AM188" s="32">
        <v>10.0</v>
      </c>
      <c r="AN188" s="15" t="s">
        <v>89</v>
      </c>
      <c r="AO188" s="15" t="s">
        <v>89</v>
      </c>
      <c r="AP188" s="15" t="s">
        <v>40</v>
      </c>
      <c r="AQ188" s="168"/>
      <c r="AR188" s="168"/>
      <c r="AS188" s="15" t="s">
        <v>469</v>
      </c>
      <c r="AT188" s="15" t="s">
        <v>469</v>
      </c>
      <c r="AU188" s="15" t="s">
        <v>493</v>
      </c>
      <c r="AV188" s="15" t="s">
        <v>493</v>
      </c>
      <c r="AW188" s="69">
        <v>2089477.0</v>
      </c>
      <c r="AX188" s="96" t="str">
        <f t="shared" si="131"/>
        <v>$2M - $3M</v>
      </c>
      <c r="AY188" s="69">
        <v>44417.0</v>
      </c>
      <c r="AZ188" s="69">
        <v>1045000.0</v>
      </c>
      <c r="BA188" s="103" t="str">
        <f t="shared" si="132"/>
        <v>$1M - $2M</v>
      </c>
      <c r="BB188" s="103">
        <f t="shared" si="133"/>
        <v>0.04250430622</v>
      </c>
      <c r="BC188" s="103" t="str">
        <f t="shared" si="134"/>
        <v>&lt; 10%</v>
      </c>
      <c r="BD188" s="15" t="s">
        <v>107</v>
      </c>
      <c r="BF188" s="15" t="s">
        <v>469</v>
      </c>
      <c r="BG188" s="15">
        <v>0.0</v>
      </c>
      <c r="BH188" s="15">
        <v>1.0</v>
      </c>
      <c r="BI188" s="15" t="s">
        <v>493</v>
      </c>
      <c r="BJ188" s="15" t="s">
        <v>469</v>
      </c>
      <c r="BK188" s="15" t="s">
        <v>493</v>
      </c>
      <c r="BL188" s="15" t="s">
        <v>469</v>
      </c>
      <c r="BM188" s="15">
        <v>2.0</v>
      </c>
      <c r="BN188" s="15">
        <v>5.0</v>
      </c>
      <c r="BO188" s="15">
        <v>0.0</v>
      </c>
      <c r="BP188" s="15">
        <v>0.0</v>
      </c>
      <c r="BQ188" s="108"/>
      <c r="BR188" s="15">
        <v>2.0</v>
      </c>
      <c r="BS188" s="15">
        <v>1.0</v>
      </c>
      <c r="BT188" s="15">
        <v>0.0</v>
      </c>
      <c r="BU188" s="15">
        <v>35.0</v>
      </c>
      <c r="BV188" s="15" t="s">
        <v>469</v>
      </c>
      <c r="BW188" s="108"/>
      <c r="CC188" s="108"/>
      <c r="CI188" s="108"/>
      <c r="CO188" s="108"/>
      <c r="CU188" s="108"/>
      <c r="DA188" s="108"/>
      <c r="DG188" s="108"/>
      <c r="DM188" s="108"/>
      <c r="DS188" s="108"/>
      <c r="DT188" s="108"/>
      <c r="DU188" s="108"/>
      <c r="DW188" s="109"/>
      <c r="DX188" s="110">
        <f t="shared" si="13"/>
        <v>2</v>
      </c>
      <c r="DY188" s="111">
        <f t="shared" ref="DY188:DZ188" si="435">sum(BS188,BY188,CE188,CK188,CQ188,CW188,DC188,DI188,DO188)</f>
        <v>1</v>
      </c>
      <c r="DZ188" s="111">
        <f t="shared" si="435"/>
        <v>0</v>
      </c>
      <c r="EA188" s="110">
        <f t="shared" si="15"/>
        <v>35</v>
      </c>
      <c r="EB188" s="99" t="str">
        <f t="shared" si="16"/>
        <v>35 - 54</v>
      </c>
      <c r="EC188" s="112"/>
      <c r="ED188" s="113">
        <f t="shared" si="17"/>
        <v>4.2</v>
      </c>
      <c r="EE188" s="114">
        <f>IF(V188 &lt;&gt; "", 1+((V188-MIN(discount_rates))*(4)/(MAX(discount_rates) - MIN(discount_rates))), "")</f>
        <v>3.105263158</v>
      </c>
      <c r="EF188" s="114" t="str">
        <f>IF(Q188="Debt", (1+((S188-MIN(interest_rates))*(4)/(MAX(interest_rates) - MIN(interest_rates)))), "")</f>
        <v/>
      </c>
      <c r="EG188" s="114" t="str">
        <f>IF(OR(Q188="Revenue Share", Q188="Profit Share"), (1+((R188-MIN(return_mutiples))*(4)/(MAX(return_mutiples) - MIN(return_mutiples)))), "")</f>
        <v/>
      </c>
      <c r="EH188" s="115">
        <f t="shared" si="18"/>
        <v>4.2</v>
      </c>
      <c r="EI188" s="116" t="str">
        <f t="shared" si="19"/>
        <v>SAFE</v>
      </c>
      <c r="EJ188" s="117">
        <f t="shared" si="20"/>
        <v>0.3561643836</v>
      </c>
      <c r="EK188" s="116" t="str">
        <f t="shared" si="21"/>
        <v>Growth</v>
      </c>
      <c r="EL188" s="112"/>
      <c r="EM188" s="118">
        <f t="shared" si="22"/>
        <v>3.9</v>
      </c>
      <c r="EN188" s="118">
        <f t="shared" si="23"/>
        <v>1.7</v>
      </c>
      <c r="EO188" s="119">
        <f t="shared" si="24"/>
        <v>5.6</v>
      </c>
      <c r="EP188" s="115">
        <f>1+((EO188-MIN(market_ratings_sums))*(4)/(MAX(market_ratings_sums) - MIN(market_ratings_sums)))</f>
        <v>3.035087719</v>
      </c>
      <c r="EQ188" s="116" t="str">
        <f t="shared" si="25"/>
        <v>No</v>
      </c>
      <c r="ER188" s="112"/>
      <c r="ES188" s="123">
        <f>1+((DX188-MIN(industry_experiences))*(4)/(MAX(industry_experiences) - MIN(industry_experiences)))</f>
        <v>1.19047619</v>
      </c>
      <c r="ET188" s="123">
        <f>1+((DY188-MIN(previous_startups))*(4)/(MAX(previous_startups) - MIN(previous_startups)))</f>
        <v>1.444444444</v>
      </c>
      <c r="EU188" s="123">
        <f>1+((DZ188-MIN(exits))*(4)/(MAX(exits) - MIN(exits)))</f>
        <v>1</v>
      </c>
      <c r="EV188" s="119">
        <f t="shared" si="26"/>
        <v>3.634920635</v>
      </c>
      <c r="EW188" s="124">
        <f>1+((EV188-MIN(team_ratings_sums))*(4)/(MAX(team_ratings_sums) - MIN(team_ratings_sums)))</f>
        <v>1.347826087</v>
      </c>
      <c r="EX188" s="116" t="str">
        <f t="shared" si="27"/>
        <v>35 - 54</v>
      </c>
      <c r="EY188" s="125">
        <f t="shared" si="28"/>
        <v>0.6849315068</v>
      </c>
      <c r="EZ188" s="116">
        <f t="shared" si="29"/>
        <v>1</v>
      </c>
      <c r="FA188" s="125">
        <f t="shared" si="30"/>
        <v>0.4383561644</v>
      </c>
      <c r="FB188" s="116">
        <f t="shared" si="31"/>
        <v>5</v>
      </c>
      <c r="FC188" s="125">
        <f t="shared" si="32"/>
        <v>0.1369863014</v>
      </c>
      <c r="FD188" s="116" t="str">
        <f t="shared" si="33"/>
        <v>Yes</v>
      </c>
      <c r="FE188" s="125">
        <f t="shared" si="34"/>
        <v>0.2465753425</v>
      </c>
      <c r="FF188" s="116" t="str">
        <f t="shared" ref="FF188:FH188" si="436">BJ188</f>
        <v>No</v>
      </c>
      <c r="FG188" s="116" t="str">
        <f t="shared" si="436"/>
        <v>Yes</v>
      </c>
      <c r="FH188" s="116" t="str">
        <f t="shared" si="436"/>
        <v>No</v>
      </c>
      <c r="FI188" s="112"/>
      <c r="FJ188" s="116" t="str">
        <f t="shared" si="36"/>
        <v>Transactional</v>
      </c>
      <c r="FK188" s="125">
        <f t="shared" si="37"/>
        <v>0.602739726</v>
      </c>
      <c r="FL188" s="116" t="str">
        <f t="shared" si="38"/>
        <v>B2C</v>
      </c>
      <c r="FM188" s="125">
        <f t="shared" si="39"/>
        <v>0.397260274</v>
      </c>
      <c r="FN188" s="116" t="str">
        <f t="shared" si="40"/>
        <v>Low</v>
      </c>
      <c r="FO188" s="125">
        <f t="shared" si="41"/>
        <v>0.4383561644</v>
      </c>
      <c r="FP188" s="116" t="str">
        <f t="shared" si="42"/>
        <v>Low</v>
      </c>
      <c r="FQ188" s="125">
        <f t="shared" si="43"/>
        <v>0.3561643836</v>
      </c>
      <c r="FR188" s="112"/>
      <c r="FS188" s="123">
        <f t="shared" si="44"/>
        <v>5</v>
      </c>
      <c r="FT188" s="123">
        <f t="shared" si="45"/>
        <v>3.7</v>
      </c>
      <c r="FU188" s="123">
        <f t="shared" si="46"/>
        <v>5</v>
      </c>
      <c r="FV188" s="123">
        <f t="shared" si="47"/>
        <v>2.8</v>
      </c>
      <c r="FW188" s="119">
        <f t="shared" si="48"/>
        <v>16.5</v>
      </c>
      <c r="FX188" s="115">
        <f>1+((FW188-MIN(performance_ratings_sums))*(4)/(MAX(performance_ratings_sums) - MIN(performance_ratings_sums)))</f>
        <v>4.663551402</v>
      </c>
      <c r="FY188" s="116" t="str">
        <f t="shared" si="49"/>
        <v>Pre-Profit</v>
      </c>
      <c r="FZ188" s="126">
        <f t="shared" si="50"/>
        <v>0.4931506849</v>
      </c>
      <c r="GA188" s="112"/>
      <c r="GB188" s="127">
        <f t="shared" si="51"/>
        <v>1</v>
      </c>
      <c r="GC188" s="116" t="str">
        <f t="shared" si="52"/>
        <v>No</v>
      </c>
      <c r="GD188" s="126">
        <f t="shared" si="53"/>
        <v>0.7671232877</v>
      </c>
      <c r="GE188" s="126" t="str">
        <f t="shared" si="54"/>
        <v/>
      </c>
      <c r="GF188" s="126">
        <f t="shared" si="55"/>
        <v>0</v>
      </c>
      <c r="GG188" s="126" t="str">
        <f t="shared" si="56"/>
        <v/>
      </c>
      <c r="GH188" s="126">
        <f t="shared" si="57"/>
        <v>0</v>
      </c>
      <c r="GI188" s="112"/>
      <c r="GJ188" s="116"/>
      <c r="GK188" s="119">
        <f t="shared" si="58"/>
        <v>14.24646521</v>
      </c>
      <c r="GL188" s="128">
        <f>1+((GK188-MIN(ratings_sums))*(4)/(MAX(ratings_sums) - MIN(ratings_sums)))</f>
        <v>3.163981122</v>
      </c>
    </row>
    <row r="189" ht="15.75" customHeight="1">
      <c r="A189" s="161" t="s">
        <v>1128</v>
      </c>
      <c r="B189" s="15">
        <v>1788672.0</v>
      </c>
      <c r="C189" s="162" t="s">
        <v>1344</v>
      </c>
      <c r="D189" s="163">
        <v>43780.58819444444</v>
      </c>
      <c r="E189" s="15" t="s">
        <v>392</v>
      </c>
      <c r="F189" s="164" t="s">
        <v>1345</v>
      </c>
      <c r="G189" s="164" t="s">
        <v>1346</v>
      </c>
      <c r="H189" s="173">
        <v>43767.0</v>
      </c>
      <c r="I189" s="162" t="s">
        <v>1347</v>
      </c>
      <c r="J189" s="162" t="s">
        <v>1348</v>
      </c>
      <c r="K189" s="15" t="s">
        <v>471</v>
      </c>
      <c r="L189" s="15" t="s">
        <v>390</v>
      </c>
      <c r="M189" s="15" t="s">
        <v>81</v>
      </c>
      <c r="N189" s="15" t="s">
        <v>101</v>
      </c>
      <c r="O189" s="15" t="s">
        <v>35</v>
      </c>
      <c r="Q189" s="15" t="s">
        <v>195</v>
      </c>
      <c r="R189" s="166"/>
      <c r="S189" s="120"/>
      <c r="T189" s="69"/>
      <c r="U189" s="69">
        <v>9000000.0</v>
      </c>
      <c r="V189" s="132">
        <v>0.0</v>
      </c>
      <c r="W189" s="96">
        <f t="shared" si="125"/>
        <v>9000000</v>
      </c>
      <c r="X189" s="98">
        <f t="shared" si="126"/>
        <v>9000000</v>
      </c>
      <c r="Y189" s="99" t="str">
        <f t="shared" si="127"/>
        <v>$8M - $10M</v>
      </c>
      <c r="Z189" s="15" t="s">
        <v>36</v>
      </c>
      <c r="AA189" s="15" t="s">
        <v>123</v>
      </c>
      <c r="AB189" s="15" t="s">
        <v>38</v>
      </c>
      <c r="AC189" s="15" t="s">
        <v>493</v>
      </c>
      <c r="AD189" s="15" t="s">
        <v>89</v>
      </c>
      <c r="AE189" s="15" t="s">
        <v>89</v>
      </c>
      <c r="AF189" s="15" t="s">
        <v>493</v>
      </c>
      <c r="AG189" s="69">
        <v>5.06E10</v>
      </c>
      <c r="AH189" s="97" t="str">
        <f t="shared" si="128"/>
        <v>$50B-$100B</v>
      </c>
      <c r="AI189" s="69">
        <v>5.06E10</v>
      </c>
      <c r="AJ189" s="97" t="str">
        <f t="shared" si="129"/>
        <v>$50B-$100B</v>
      </c>
      <c r="AK189" s="167">
        <v>0.02</v>
      </c>
      <c r="AL189" s="88" t="str">
        <f t="shared" si="130"/>
        <v>0%-10%</v>
      </c>
      <c r="AM189" s="15">
        <v>4.0</v>
      </c>
      <c r="AN189" s="15" t="s">
        <v>89</v>
      </c>
      <c r="AO189" s="15" t="s">
        <v>89</v>
      </c>
      <c r="AP189" s="15" t="s">
        <v>40</v>
      </c>
      <c r="AQ189" s="168"/>
      <c r="AR189" s="168"/>
      <c r="AS189" s="15" t="s">
        <v>493</v>
      </c>
      <c r="AT189" s="15" t="s">
        <v>469</v>
      </c>
      <c r="AU189" s="15" t="s">
        <v>493</v>
      </c>
      <c r="AV189" s="15" t="s">
        <v>493</v>
      </c>
      <c r="AW189" s="69">
        <v>1349052.0</v>
      </c>
      <c r="AX189" s="96" t="str">
        <f t="shared" si="131"/>
        <v>$1M - $2M</v>
      </c>
      <c r="AY189" s="69">
        <v>14780.0</v>
      </c>
      <c r="AZ189" s="69">
        <v>570230.0</v>
      </c>
      <c r="BA189" s="103" t="str">
        <f t="shared" si="132"/>
        <v>$500K - $1M</v>
      </c>
      <c r="BB189" s="103">
        <f t="shared" si="133"/>
        <v>0.02591936587</v>
      </c>
      <c r="BC189" s="103" t="str">
        <f t="shared" si="134"/>
        <v>&lt; 10%</v>
      </c>
      <c r="BD189" s="15" t="s">
        <v>107</v>
      </c>
      <c r="BF189" s="15" t="s">
        <v>469</v>
      </c>
      <c r="BG189" s="15">
        <v>0.0</v>
      </c>
      <c r="BH189" s="15">
        <v>2.0</v>
      </c>
      <c r="BI189" s="15" t="s">
        <v>493</v>
      </c>
      <c r="BJ189" s="15" t="s">
        <v>469</v>
      </c>
      <c r="BK189" s="15" t="s">
        <v>469</v>
      </c>
      <c r="BL189" s="15" t="s">
        <v>469</v>
      </c>
      <c r="BM189" s="15">
        <v>5.0</v>
      </c>
      <c r="BN189" s="15">
        <v>5.0</v>
      </c>
      <c r="BO189" s="15">
        <v>0.0</v>
      </c>
      <c r="BP189" s="15">
        <v>0.0</v>
      </c>
      <c r="BQ189" s="108"/>
      <c r="BR189" s="15">
        <v>3.0</v>
      </c>
      <c r="BS189" s="15">
        <v>0.0</v>
      </c>
      <c r="BT189" s="15">
        <v>0.0</v>
      </c>
      <c r="BU189" s="15">
        <v>30.0</v>
      </c>
      <c r="BV189" s="15" t="s">
        <v>469</v>
      </c>
      <c r="BW189" s="108"/>
      <c r="BX189" s="15">
        <v>3.0</v>
      </c>
      <c r="BY189" s="15">
        <v>1.0</v>
      </c>
      <c r="BZ189" s="15">
        <v>0.0</v>
      </c>
      <c r="CA189" s="15">
        <v>34.0</v>
      </c>
      <c r="CB189" s="15" t="s">
        <v>469</v>
      </c>
      <c r="CC189" s="108"/>
      <c r="CI189" s="108"/>
      <c r="CO189" s="108"/>
      <c r="CU189" s="108"/>
      <c r="DA189" s="108"/>
      <c r="DG189" s="108"/>
      <c r="DM189" s="108"/>
      <c r="DS189" s="108"/>
      <c r="DT189" s="108"/>
      <c r="DU189" s="108"/>
      <c r="DW189" s="109"/>
      <c r="DX189" s="110">
        <f t="shared" si="13"/>
        <v>3</v>
      </c>
      <c r="DY189" s="111">
        <f t="shared" ref="DY189:DZ189" si="437">sum(BS189,BY189,CE189,CK189,CQ189,CW189,DC189,DI189,DO189)</f>
        <v>1</v>
      </c>
      <c r="DZ189" s="111">
        <f t="shared" si="437"/>
        <v>0</v>
      </c>
      <c r="EA189" s="110">
        <f t="shared" si="15"/>
        <v>32</v>
      </c>
      <c r="EB189" s="99" t="str">
        <f t="shared" si="16"/>
        <v>20 - 34</v>
      </c>
      <c r="EC189" s="112"/>
      <c r="ED189" s="113">
        <f t="shared" si="17"/>
        <v>4</v>
      </c>
      <c r="EE189" s="114">
        <f>IF(V189 &lt;&gt; "", 1+((V189-MIN(discount_rates))*(4)/(MAX(discount_rates) - MIN(discount_rates))), "")</f>
        <v>1</v>
      </c>
      <c r="EF189" s="114" t="str">
        <f>IF(Q189="Debt", (1+((S189-MIN(interest_rates))*(4)/(MAX(interest_rates) - MIN(interest_rates)))), "")</f>
        <v/>
      </c>
      <c r="EG189" s="114" t="str">
        <f>IF(OR(Q189="Revenue Share", Q189="Profit Share"), (1+((R189-MIN(return_mutiples))*(4)/(MAX(return_mutiples) - MIN(return_mutiples)))), "")</f>
        <v/>
      </c>
      <c r="EH189" s="115">
        <f t="shared" si="18"/>
        <v>4</v>
      </c>
      <c r="EI189" s="116" t="str">
        <f t="shared" si="19"/>
        <v>SAFE</v>
      </c>
      <c r="EJ189" s="117">
        <f t="shared" si="20"/>
        <v>0.3561643836</v>
      </c>
      <c r="EK189" s="116" t="str">
        <f t="shared" si="21"/>
        <v>Growth</v>
      </c>
      <c r="EL189" s="112"/>
      <c r="EM189" s="118">
        <f t="shared" si="22"/>
        <v>3.9</v>
      </c>
      <c r="EN189" s="118">
        <f t="shared" si="23"/>
        <v>1.7</v>
      </c>
      <c r="EO189" s="119">
        <f t="shared" si="24"/>
        <v>5.6</v>
      </c>
      <c r="EP189" s="115">
        <f>1+((EO189-MIN(market_ratings_sums))*(4)/(MAX(market_ratings_sums) - MIN(market_ratings_sums)))</f>
        <v>3.035087719</v>
      </c>
      <c r="EQ189" s="116" t="str">
        <f t="shared" si="25"/>
        <v>Yes</v>
      </c>
      <c r="ER189" s="112"/>
      <c r="ES189" s="123">
        <f>1+((DX189-MIN(industry_experiences))*(4)/(MAX(industry_experiences) - MIN(industry_experiences)))</f>
        <v>1.285714286</v>
      </c>
      <c r="ET189" s="123">
        <f>1+((DY189-MIN(previous_startups))*(4)/(MAX(previous_startups) - MIN(previous_startups)))</f>
        <v>1.444444444</v>
      </c>
      <c r="EU189" s="123">
        <f>1+((DZ189-MIN(exits))*(4)/(MAX(exits) - MIN(exits)))</f>
        <v>1</v>
      </c>
      <c r="EV189" s="119">
        <f t="shared" si="26"/>
        <v>3.73015873</v>
      </c>
      <c r="EW189" s="124">
        <f>1+((EV189-MIN(team_ratings_sums))*(4)/(MAX(team_ratings_sums) - MIN(team_ratings_sums)))</f>
        <v>1.4</v>
      </c>
      <c r="EX189" s="116" t="str">
        <f t="shared" si="27"/>
        <v>20 - 34</v>
      </c>
      <c r="EY189" s="125">
        <f t="shared" si="28"/>
        <v>0.2054794521</v>
      </c>
      <c r="EZ189" s="116">
        <f t="shared" si="29"/>
        <v>2</v>
      </c>
      <c r="FA189" s="125">
        <f t="shared" si="30"/>
        <v>0.4520547945</v>
      </c>
      <c r="FB189" s="116">
        <f t="shared" si="31"/>
        <v>5</v>
      </c>
      <c r="FC189" s="125">
        <f t="shared" si="32"/>
        <v>0.1369863014</v>
      </c>
      <c r="FD189" s="116" t="str">
        <f t="shared" si="33"/>
        <v>Yes</v>
      </c>
      <c r="FE189" s="125">
        <f t="shared" si="34"/>
        <v>0.2465753425</v>
      </c>
      <c r="FF189" s="116" t="str">
        <f t="shared" ref="FF189:FH189" si="438">BJ189</f>
        <v>No</v>
      </c>
      <c r="FG189" s="116" t="str">
        <f t="shared" si="438"/>
        <v>No</v>
      </c>
      <c r="FH189" s="116" t="str">
        <f t="shared" si="438"/>
        <v>No</v>
      </c>
      <c r="FI189" s="112"/>
      <c r="FJ189" s="116" t="str">
        <f t="shared" si="36"/>
        <v>Transactional</v>
      </c>
      <c r="FK189" s="125">
        <f t="shared" si="37"/>
        <v>0.602739726</v>
      </c>
      <c r="FL189" s="116" t="str">
        <f t="shared" si="38"/>
        <v>B2B/B2C</v>
      </c>
      <c r="FM189" s="125">
        <f t="shared" si="39"/>
        <v>0.3287671233</v>
      </c>
      <c r="FN189" s="116" t="str">
        <f t="shared" si="40"/>
        <v>Low</v>
      </c>
      <c r="FO189" s="125">
        <f t="shared" si="41"/>
        <v>0.4383561644</v>
      </c>
      <c r="FP189" s="116" t="str">
        <f t="shared" si="42"/>
        <v>Low</v>
      </c>
      <c r="FQ189" s="125">
        <f t="shared" si="43"/>
        <v>0.3561643836</v>
      </c>
      <c r="FR189" s="112"/>
      <c r="FS189" s="123">
        <f t="shared" si="44"/>
        <v>5</v>
      </c>
      <c r="FT189" s="123">
        <f t="shared" si="45"/>
        <v>3.2</v>
      </c>
      <c r="FU189" s="123">
        <f t="shared" si="46"/>
        <v>5</v>
      </c>
      <c r="FV189" s="123">
        <f t="shared" si="47"/>
        <v>3.2</v>
      </c>
      <c r="FW189" s="119">
        <f t="shared" si="48"/>
        <v>16.4</v>
      </c>
      <c r="FX189" s="115">
        <f>1+((FW189-MIN(performance_ratings_sums))*(4)/(MAX(performance_ratings_sums) - MIN(performance_ratings_sums)))</f>
        <v>4.626168224</v>
      </c>
      <c r="FY189" s="116" t="str">
        <f t="shared" si="49"/>
        <v>Pre-Profit</v>
      </c>
      <c r="FZ189" s="126">
        <f t="shared" si="50"/>
        <v>0.4931506849</v>
      </c>
      <c r="GA189" s="112"/>
      <c r="GB189" s="127">
        <f t="shared" si="51"/>
        <v>1</v>
      </c>
      <c r="GC189" s="116" t="str">
        <f t="shared" si="52"/>
        <v>No</v>
      </c>
      <c r="GD189" s="126">
        <f t="shared" si="53"/>
        <v>0.7671232877</v>
      </c>
      <c r="GE189" s="126" t="str">
        <f t="shared" si="54"/>
        <v/>
      </c>
      <c r="GF189" s="126">
        <f t="shared" si="55"/>
        <v>0</v>
      </c>
      <c r="GG189" s="126" t="str">
        <f t="shared" si="56"/>
        <v/>
      </c>
      <c r="GH189" s="126">
        <f t="shared" si="57"/>
        <v>0</v>
      </c>
      <c r="GI189" s="112"/>
      <c r="GJ189" s="116"/>
      <c r="GK189" s="119">
        <f t="shared" si="58"/>
        <v>14.06125594</v>
      </c>
      <c r="GL189" s="128">
        <f>1+((GK189-MIN(ratings_sums))*(4)/(MAX(ratings_sums) - MIN(ratings_sums)))</f>
        <v>3.107151517</v>
      </c>
    </row>
    <row r="190" ht="15.75" customHeight="1">
      <c r="A190" s="161" t="s">
        <v>1128</v>
      </c>
      <c r="B190" s="15">
        <v>1793349.0</v>
      </c>
      <c r="C190" s="162" t="s">
        <v>1349</v>
      </c>
      <c r="D190" s="163">
        <v>43781.677083333336</v>
      </c>
      <c r="E190" s="15" t="s">
        <v>369</v>
      </c>
      <c r="F190" s="164" t="s">
        <v>1350</v>
      </c>
      <c r="G190" s="164" t="s">
        <v>1351</v>
      </c>
      <c r="H190" s="173">
        <v>43866.0</v>
      </c>
      <c r="I190" s="162" t="s">
        <v>1352</v>
      </c>
      <c r="J190" s="162" t="s">
        <v>1349</v>
      </c>
      <c r="K190" s="15" t="s">
        <v>354</v>
      </c>
      <c r="L190" s="15" t="s">
        <v>167</v>
      </c>
      <c r="M190" s="15" t="s">
        <v>31</v>
      </c>
      <c r="N190" s="15" t="s">
        <v>32</v>
      </c>
      <c r="O190" s="15" t="s">
        <v>35</v>
      </c>
      <c r="Q190" s="15" t="s">
        <v>195</v>
      </c>
      <c r="R190" s="166"/>
      <c r="S190" s="120"/>
      <c r="T190" s="69"/>
      <c r="U190" s="69">
        <v>3750000.0</v>
      </c>
      <c r="V190" s="132">
        <v>0.2</v>
      </c>
      <c r="W190" s="96">
        <f t="shared" si="125"/>
        <v>3000000</v>
      </c>
      <c r="X190" s="98">
        <f t="shared" si="126"/>
        <v>3000000</v>
      </c>
      <c r="Y190" s="99" t="str">
        <f t="shared" si="127"/>
        <v>$2M - $4M</v>
      </c>
      <c r="Z190" s="15" t="s">
        <v>86</v>
      </c>
      <c r="AA190" s="15" t="s">
        <v>37</v>
      </c>
      <c r="AB190" s="15" t="s">
        <v>38</v>
      </c>
      <c r="AC190" s="15" t="s">
        <v>493</v>
      </c>
      <c r="AD190" s="15" t="s">
        <v>39</v>
      </c>
      <c r="AE190" s="15" t="s">
        <v>89</v>
      </c>
      <c r="AF190" s="15" t="s">
        <v>469</v>
      </c>
      <c r="AG190" s="69">
        <v>2.0E11</v>
      </c>
      <c r="AH190" s="97" t="str">
        <f t="shared" si="128"/>
        <v>$100B-$250B</v>
      </c>
      <c r="AI190" s="69">
        <v>1.4815E10</v>
      </c>
      <c r="AJ190" s="97" t="str">
        <f t="shared" si="129"/>
        <v>$10B-$25B</v>
      </c>
      <c r="AK190" s="167">
        <v>0.15</v>
      </c>
      <c r="AL190" s="88" t="str">
        <f t="shared" si="130"/>
        <v>10%-20%</v>
      </c>
      <c r="AM190" s="15">
        <v>0.0</v>
      </c>
      <c r="AN190" s="15" t="s">
        <v>39</v>
      </c>
      <c r="AO190" s="15" t="s">
        <v>39</v>
      </c>
      <c r="AP190" s="15" t="s">
        <v>90</v>
      </c>
      <c r="AQ190" s="168"/>
      <c r="AR190" s="168"/>
      <c r="AS190" s="15" t="s">
        <v>469</v>
      </c>
      <c r="AT190" s="15" t="s">
        <v>469</v>
      </c>
      <c r="AU190" s="15" t="s">
        <v>469</v>
      </c>
      <c r="AV190" s="15" t="s">
        <v>469</v>
      </c>
      <c r="AW190" s="69">
        <v>0.0</v>
      </c>
      <c r="AX190" s="96" t="str">
        <f t="shared" si="131"/>
        <v>&lt; $10K</v>
      </c>
      <c r="AY190" s="69">
        <v>0.0</v>
      </c>
      <c r="AZ190" s="69">
        <v>0.0</v>
      </c>
      <c r="BA190" s="103" t="str">
        <f t="shared" si="132"/>
        <v>&lt; $10K</v>
      </c>
      <c r="BB190" s="103">
        <f t="shared" si="133"/>
        <v>1</v>
      </c>
      <c r="BC190" s="103" t="str">
        <f t="shared" si="134"/>
        <v>90% - 100%</v>
      </c>
      <c r="BD190" s="15" t="s">
        <v>41</v>
      </c>
      <c r="BF190" s="15" t="s">
        <v>493</v>
      </c>
      <c r="BG190" s="15">
        <v>1.0</v>
      </c>
      <c r="BH190" s="15">
        <v>1.0</v>
      </c>
      <c r="BI190" s="15" t="s">
        <v>493</v>
      </c>
      <c r="BJ190" s="15" t="s">
        <v>469</v>
      </c>
      <c r="BK190" s="15" t="s">
        <v>493</v>
      </c>
      <c r="BL190" s="15" t="s">
        <v>469</v>
      </c>
      <c r="BM190" s="15">
        <v>1.0</v>
      </c>
      <c r="BN190" s="15">
        <v>6.0</v>
      </c>
      <c r="BO190" s="15">
        <v>0.0</v>
      </c>
      <c r="BP190" s="15">
        <v>0.0</v>
      </c>
      <c r="BQ190" s="108"/>
      <c r="BR190" s="15">
        <v>4.0</v>
      </c>
      <c r="BS190" s="15">
        <v>2.0</v>
      </c>
      <c r="BT190" s="15">
        <v>0.0</v>
      </c>
      <c r="BU190" s="15">
        <v>27.0</v>
      </c>
      <c r="BV190" s="15" t="s">
        <v>469</v>
      </c>
      <c r="BW190" s="108"/>
      <c r="CC190" s="108"/>
      <c r="CI190" s="108"/>
      <c r="CO190" s="108"/>
      <c r="CU190" s="108"/>
      <c r="DA190" s="108"/>
      <c r="DG190" s="108"/>
      <c r="DM190" s="108"/>
      <c r="DS190" s="108"/>
      <c r="DT190" s="108"/>
      <c r="DU190" s="108"/>
      <c r="DW190" s="109"/>
      <c r="DX190" s="110">
        <f t="shared" si="13"/>
        <v>4</v>
      </c>
      <c r="DY190" s="111">
        <f t="shared" ref="DY190:DZ190" si="439">sum(BS190,BY190,CE190,CK190,CQ190,CW190,DC190,DI190,DO190)</f>
        <v>2</v>
      </c>
      <c r="DZ190" s="111">
        <f t="shared" si="439"/>
        <v>0</v>
      </c>
      <c r="EA190" s="110">
        <f t="shared" si="15"/>
        <v>27</v>
      </c>
      <c r="EB190" s="99" t="str">
        <f t="shared" si="16"/>
        <v>20 - 34</v>
      </c>
      <c r="EC190" s="112"/>
      <c r="ED190" s="113">
        <f t="shared" si="17"/>
        <v>4.6</v>
      </c>
      <c r="EE190" s="114">
        <f>IF(V190 &lt;&gt; "", 1+((V190-MIN(discount_rates))*(4)/(MAX(discount_rates) - MIN(discount_rates))), "")</f>
        <v>3.105263158</v>
      </c>
      <c r="EF190" s="114" t="str">
        <f>IF(Q190="Debt", (1+((S190-MIN(interest_rates))*(4)/(MAX(interest_rates) - MIN(interest_rates)))), "")</f>
        <v/>
      </c>
      <c r="EG190" s="114" t="str">
        <f>IF(OR(Q190="Revenue Share", Q190="Profit Share"), (1+((R190-MIN(return_mutiples))*(4)/(MAX(return_mutiples) - MIN(return_mutiples)))), "")</f>
        <v/>
      </c>
      <c r="EH190" s="115">
        <f t="shared" si="18"/>
        <v>4.6</v>
      </c>
      <c r="EI190" s="116" t="str">
        <f t="shared" si="19"/>
        <v>SAFE</v>
      </c>
      <c r="EJ190" s="117">
        <f t="shared" si="20"/>
        <v>0.3561643836</v>
      </c>
      <c r="EK190" s="116" t="str">
        <f t="shared" si="21"/>
        <v>Early</v>
      </c>
      <c r="EL190" s="112"/>
      <c r="EM190" s="118">
        <f t="shared" si="22"/>
        <v>3.3</v>
      </c>
      <c r="EN190" s="118">
        <f t="shared" si="23"/>
        <v>2.3</v>
      </c>
      <c r="EO190" s="119">
        <f t="shared" si="24"/>
        <v>5.6</v>
      </c>
      <c r="EP190" s="115">
        <f>1+((EO190-MIN(market_ratings_sums))*(4)/(MAX(market_ratings_sums) - MIN(market_ratings_sums)))</f>
        <v>3.035087719</v>
      </c>
      <c r="EQ190" s="116" t="str">
        <f t="shared" si="25"/>
        <v>No</v>
      </c>
      <c r="ER190" s="112"/>
      <c r="ES190" s="123">
        <f>1+((DX190-MIN(industry_experiences))*(4)/(MAX(industry_experiences) - MIN(industry_experiences)))</f>
        <v>1.380952381</v>
      </c>
      <c r="ET190" s="123">
        <f>1+((DY190-MIN(previous_startups))*(4)/(MAX(previous_startups) - MIN(previous_startups)))</f>
        <v>1.888888889</v>
      </c>
      <c r="EU190" s="123">
        <f>1+((DZ190-MIN(exits))*(4)/(MAX(exits) - MIN(exits)))</f>
        <v>1</v>
      </c>
      <c r="EV190" s="119">
        <f t="shared" si="26"/>
        <v>4.26984127</v>
      </c>
      <c r="EW190" s="124">
        <f>1+((EV190-MIN(team_ratings_sums))*(4)/(MAX(team_ratings_sums) - MIN(team_ratings_sums)))</f>
        <v>1.695652174</v>
      </c>
      <c r="EX190" s="116" t="str">
        <f t="shared" si="27"/>
        <v>20 - 34</v>
      </c>
      <c r="EY190" s="125">
        <f t="shared" si="28"/>
        <v>0.2054794521</v>
      </c>
      <c r="EZ190" s="116">
        <f t="shared" si="29"/>
        <v>1</v>
      </c>
      <c r="FA190" s="125">
        <f t="shared" si="30"/>
        <v>0.4383561644</v>
      </c>
      <c r="FB190" s="116">
        <f t="shared" si="31"/>
        <v>6</v>
      </c>
      <c r="FC190" s="125">
        <f t="shared" si="32"/>
        <v>0.06849315068</v>
      </c>
      <c r="FD190" s="116" t="str">
        <f t="shared" si="33"/>
        <v>Yes</v>
      </c>
      <c r="FE190" s="125">
        <f t="shared" si="34"/>
        <v>0.2465753425</v>
      </c>
      <c r="FF190" s="116" t="str">
        <f t="shared" ref="FF190:FH190" si="440">BJ190</f>
        <v>No</v>
      </c>
      <c r="FG190" s="116" t="str">
        <f t="shared" si="440"/>
        <v>Yes</v>
      </c>
      <c r="FH190" s="116" t="str">
        <f t="shared" si="440"/>
        <v>No</v>
      </c>
      <c r="FI190" s="112"/>
      <c r="FJ190" s="116" t="str">
        <f t="shared" si="36"/>
        <v>Recurring</v>
      </c>
      <c r="FK190" s="125">
        <f t="shared" si="37"/>
        <v>0.397260274</v>
      </c>
      <c r="FL190" s="116" t="str">
        <f t="shared" si="38"/>
        <v>B2B</v>
      </c>
      <c r="FM190" s="125">
        <f t="shared" si="39"/>
        <v>0.2465753425</v>
      </c>
      <c r="FN190" s="116" t="str">
        <f t="shared" si="40"/>
        <v>High</v>
      </c>
      <c r="FO190" s="125">
        <f t="shared" si="41"/>
        <v>0.5616438356</v>
      </c>
      <c r="FP190" s="116" t="str">
        <f t="shared" si="42"/>
        <v>Low</v>
      </c>
      <c r="FQ190" s="125">
        <f t="shared" si="43"/>
        <v>0.3561643836</v>
      </c>
      <c r="FR190" s="112"/>
      <c r="FS190" s="123">
        <f t="shared" si="44"/>
        <v>1</v>
      </c>
      <c r="FT190" s="123">
        <f t="shared" si="45"/>
        <v>1</v>
      </c>
      <c r="FU190" s="123">
        <f t="shared" si="46"/>
        <v>1</v>
      </c>
      <c r="FV190" s="123">
        <f t="shared" si="47"/>
        <v>5</v>
      </c>
      <c r="FW190" s="119">
        <f t="shared" si="48"/>
        <v>8</v>
      </c>
      <c r="FX190" s="115">
        <f>1+((FW190-MIN(performance_ratings_sums))*(4)/(MAX(performance_ratings_sums) - MIN(performance_ratings_sums)))</f>
        <v>1.485981308</v>
      </c>
      <c r="FY190" s="116" t="str">
        <f t="shared" si="49"/>
        <v>Pre-Product</v>
      </c>
      <c r="FZ190" s="126">
        <f t="shared" si="50"/>
        <v>0.2328767123</v>
      </c>
      <c r="GA190" s="112"/>
      <c r="GB190" s="127">
        <f t="shared" si="51"/>
        <v>5</v>
      </c>
      <c r="GC190" s="116" t="str">
        <f t="shared" si="52"/>
        <v>No</v>
      </c>
      <c r="GD190" s="126">
        <f t="shared" si="53"/>
        <v>0.7671232877</v>
      </c>
      <c r="GE190" s="126" t="str">
        <f t="shared" si="54"/>
        <v/>
      </c>
      <c r="GF190" s="126">
        <f t="shared" si="55"/>
        <v>0</v>
      </c>
      <c r="GG190" s="126" t="str">
        <f t="shared" si="56"/>
        <v/>
      </c>
      <c r="GH190" s="126">
        <f t="shared" si="57"/>
        <v>0</v>
      </c>
      <c r="GI190" s="112"/>
      <c r="GJ190" s="116"/>
      <c r="GK190" s="119">
        <f t="shared" si="58"/>
        <v>15.8167212</v>
      </c>
      <c r="GL190" s="128">
        <f>1+((GK190-MIN(ratings_sums))*(4)/(MAX(ratings_sums) - MIN(ratings_sums)))</f>
        <v>3.645798419</v>
      </c>
    </row>
    <row r="191" ht="15.75" customHeight="1">
      <c r="A191" s="161" t="s">
        <v>1128</v>
      </c>
      <c r="B191" s="15">
        <v>1789840.0</v>
      </c>
      <c r="C191" s="162" t="s">
        <v>1353</v>
      </c>
      <c r="D191" s="209">
        <v>43781.6875</v>
      </c>
      <c r="E191" s="15" t="s">
        <v>392</v>
      </c>
      <c r="F191" s="164" t="s">
        <v>1354</v>
      </c>
      <c r="G191" s="164" t="s">
        <v>1355</v>
      </c>
      <c r="H191" s="210">
        <v>43762.0</v>
      </c>
      <c r="I191" s="162" t="s">
        <v>1356</v>
      </c>
      <c r="J191" s="162" t="s">
        <v>1353</v>
      </c>
      <c r="K191" s="15" t="s">
        <v>419</v>
      </c>
      <c r="L191" s="15" t="s">
        <v>154</v>
      </c>
      <c r="M191" s="15" t="s">
        <v>31</v>
      </c>
      <c r="N191" s="15" t="s">
        <v>82</v>
      </c>
      <c r="O191" s="15" t="s">
        <v>35</v>
      </c>
      <c r="Q191" s="15" t="s">
        <v>84</v>
      </c>
      <c r="R191" s="166"/>
      <c r="S191" s="120"/>
      <c r="T191" s="69"/>
      <c r="U191" s="69">
        <v>3500000.0</v>
      </c>
      <c r="V191" s="132">
        <v>0.2</v>
      </c>
      <c r="W191" s="96">
        <f t="shared" si="125"/>
        <v>2800000</v>
      </c>
      <c r="X191" s="98">
        <f t="shared" si="126"/>
        <v>2800000</v>
      </c>
      <c r="Y191" s="99" t="str">
        <f t="shared" si="127"/>
        <v>$2M - $4M</v>
      </c>
      <c r="AA191" s="15" t="s">
        <v>123</v>
      </c>
      <c r="AB191" s="15" t="s">
        <v>38</v>
      </c>
      <c r="AC191" s="15" t="s">
        <v>493</v>
      </c>
      <c r="AD191" s="15" t="s">
        <v>89</v>
      </c>
      <c r="AE191" s="15" t="s">
        <v>89</v>
      </c>
      <c r="AF191" s="15" t="s">
        <v>469</v>
      </c>
      <c r="AG191" s="69">
        <v>5.7E9</v>
      </c>
      <c r="AH191" s="97" t="str">
        <f t="shared" si="128"/>
        <v>$5B-$10B</v>
      </c>
      <c r="AI191" s="69">
        <v>5.7E9</v>
      </c>
      <c r="AJ191" s="97" t="str">
        <f t="shared" si="129"/>
        <v>$5B-$10B</v>
      </c>
      <c r="AK191" s="167">
        <v>0.19</v>
      </c>
      <c r="AL191" s="88" t="str">
        <f t="shared" si="130"/>
        <v>10%-20%</v>
      </c>
      <c r="AM191" s="15">
        <v>25.0</v>
      </c>
      <c r="AN191" s="15" t="s">
        <v>89</v>
      </c>
      <c r="AO191" s="15" t="s">
        <v>89</v>
      </c>
      <c r="AP191" s="15" t="s">
        <v>40</v>
      </c>
      <c r="AQ191" s="168"/>
      <c r="AR191" s="168"/>
      <c r="AS191" s="15" t="s">
        <v>469</v>
      </c>
      <c r="AT191" s="15" t="s">
        <v>493</v>
      </c>
      <c r="AU191" s="15" t="s">
        <v>493</v>
      </c>
      <c r="AV191" s="15" t="s">
        <v>493</v>
      </c>
      <c r="AW191" s="69">
        <v>300.0</v>
      </c>
      <c r="AX191" s="96" t="str">
        <f t="shared" si="131"/>
        <v>&lt; $10K</v>
      </c>
      <c r="AY191" s="69">
        <v>5784.0</v>
      </c>
      <c r="AZ191" s="69">
        <v>93618.0</v>
      </c>
      <c r="BA191" s="103" t="str">
        <f t="shared" si="132"/>
        <v>$50K - $100K</v>
      </c>
      <c r="BB191" s="103">
        <f t="shared" si="133"/>
        <v>0.06178299045</v>
      </c>
      <c r="BC191" s="103" t="str">
        <f t="shared" si="134"/>
        <v>&lt; 10%</v>
      </c>
      <c r="BD191" s="15" t="s">
        <v>107</v>
      </c>
      <c r="BF191" s="15" t="s">
        <v>493</v>
      </c>
      <c r="BG191" s="15">
        <v>4.0</v>
      </c>
      <c r="BH191" s="15">
        <v>1.0</v>
      </c>
      <c r="BI191" s="15" t="s">
        <v>469</v>
      </c>
      <c r="BJ191" s="15" t="s">
        <v>469</v>
      </c>
      <c r="BK191" s="15" t="s">
        <v>469</v>
      </c>
      <c r="BL191" s="15" t="s">
        <v>469</v>
      </c>
      <c r="BM191" s="15">
        <v>2.0</v>
      </c>
      <c r="BN191" s="15">
        <v>3.0</v>
      </c>
      <c r="BO191" s="15">
        <v>1.0</v>
      </c>
      <c r="BP191" s="15">
        <v>0.0</v>
      </c>
      <c r="BQ191" s="108"/>
      <c r="BR191" s="15">
        <v>0.0</v>
      </c>
      <c r="BS191" s="15">
        <v>1.0</v>
      </c>
      <c r="BT191" s="15">
        <v>0.0</v>
      </c>
      <c r="BU191" s="15">
        <v>41.0</v>
      </c>
      <c r="BV191" s="15" t="s">
        <v>493</v>
      </c>
      <c r="BW191" s="108"/>
      <c r="CC191" s="108"/>
      <c r="CI191" s="108"/>
      <c r="CO191" s="108"/>
      <c r="CU191" s="108"/>
      <c r="DA191" s="108"/>
      <c r="DG191" s="108"/>
      <c r="DM191" s="108"/>
      <c r="DS191" s="108"/>
      <c r="DT191" s="108"/>
      <c r="DU191" s="108"/>
      <c r="DW191" s="109"/>
      <c r="DX191" s="110">
        <f t="shared" si="13"/>
        <v>0</v>
      </c>
      <c r="DY191" s="111">
        <f t="shared" ref="DY191:DZ191" si="441">sum(BS191,BY191,CE191,CK191,CQ191,CW191,DC191,DI191,DO191)</f>
        <v>1</v>
      </c>
      <c r="DZ191" s="111">
        <f t="shared" si="441"/>
        <v>0</v>
      </c>
      <c r="EA191" s="110">
        <f t="shared" si="15"/>
        <v>41</v>
      </c>
      <c r="EB191" s="99" t="str">
        <f t="shared" si="16"/>
        <v>35 - 54</v>
      </c>
      <c r="EC191" s="112"/>
      <c r="ED191" s="113">
        <f t="shared" si="17"/>
        <v>4.6</v>
      </c>
      <c r="EE191" s="114">
        <f>IF(V191 &lt;&gt; "", 1+((V191-MIN(discount_rates))*(4)/(MAX(discount_rates) - MIN(discount_rates))), "")</f>
        <v>3.105263158</v>
      </c>
      <c r="EF191" s="114" t="str">
        <f>IF(Q191="Debt", (1+((S191-MIN(interest_rates))*(4)/(MAX(interest_rates) - MIN(interest_rates)))), "")</f>
        <v/>
      </c>
      <c r="EG191" s="114" t="str">
        <f>IF(OR(Q191="Revenue Share", Q191="Profit Share"), (1+((R191-MIN(return_mutiples))*(4)/(MAX(return_mutiples) - MIN(return_mutiples)))), "")</f>
        <v/>
      </c>
      <c r="EH191" s="115">
        <f t="shared" si="18"/>
        <v>4.6</v>
      </c>
      <c r="EI191" s="116" t="str">
        <f t="shared" si="19"/>
        <v>Convertible Note</v>
      </c>
      <c r="EJ191" s="117">
        <f t="shared" si="20"/>
        <v>0.1232876712</v>
      </c>
      <c r="EK191" s="116" t="str">
        <f t="shared" si="21"/>
        <v>Early</v>
      </c>
      <c r="EL191" s="112"/>
      <c r="EM191" s="118">
        <f t="shared" si="22"/>
        <v>3</v>
      </c>
      <c r="EN191" s="118">
        <f t="shared" si="23"/>
        <v>2.3</v>
      </c>
      <c r="EO191" s="119">
        <f t="shared" si="24"/>
        <v>5.3</v>
      </c>
      <c r="EP191" s="115">
        <f>1+((EO191-MIN(market_ratings_sums))*(4)/(MAX(market_ratings_sums) - MIN(market_ratings_sums)))</f>
        <v>2.824561404</v>
      </c>
      <c r="EQ191" s="116" t="str">
        <f t="shared" si="25"/>
        <v>No</v>
      </c>
      <c r="ER191" s="112"/>
      <c r="ES191" s="123">
        <f>1+((DX191-MIN(industry_experiences))*(4)/(MAX(industry_experiences) - MIN(industry_experiences)))</f>
        <v>1</v>
      </c>
      <c r="ET191" s="123">
        <f>1+((DY191-MIN(previous_startups))*(4)/(MAX(previous_startups) - MIN(previous_startups)))</f>
        <v>1.444444444</v>
      </c>
      <c r="EU191" s="123">
        <f>1+((DZ191-MIN(exits))*(4)/(MAX(exits) - MIN(exits)))</f>
        <v>1</v>
      </c>
      <c r="EV191" s="119">
        <f t="shared" si="26"/>
        <v>3.444444444</v>
      </c>
      <c r="EW191" s="124">
        <f>1+((EV191-MIN(team_ratings_sums))*(4)/(MAX(team_ratings_sums) - MIN(team_ratings_sums)))</f>
        <v>1.243478261</v>
      </c>
      <c r="EX191" s="116" t="str">
        <f t="shared" si="27"/>
        <v>35 - 54</v>
      </c>
      <c r="EY191" s="125">
        <f t="shared" si="28"/>
        <v>0.6849315068</v>
      </c>
      <c r="EZ191" s="116">
        <f t="shared" si="29"/>
        <v>1</v>
      </c>
      <c r="FA191" s="125">
        <f t="shared" si="30"/>
        <v>0.4383561644</v>
      </c>
      <c r="FB191" s="116">
        <f t="shared" si="31"/>
        <v>3</v>
      </c>
      <c r="FC191" s="125">
        <f t="shared" si="32"/>
        <v>0.08219178082</v>
      </c>
      <c r="FD191" s="116" t="str">
        <f t="shared" si="33"/>
        <v>No</v>
      </c>
      <c r="FE191" s="125">
        <f t="shared" si="34"/>
        <v>0.7534246575</v>
      </c>
      <c r="FF191" s="116" t="str">
        <f t="shared" ref="FF191:FH191" si="442">BJ191</f>
        <v>No</v>
      </c>
      <c r="FG191" s="116" t="str">
        <f t="shared" si="442"/>
        <v>No</v>
      </c>
      <c r="FH191" s="116" t="str">
        <f t="shared" si="442"/>
        <v>No</v>
      </c>
      <c r="FI191" s="112"/>
      <c r="FJ191" s="116" t="str">
        <f t="shared" si="36"/>
        <v/>
      </c>
      <c r="FK191" s="125">
        <f t="shared" si="37"/>
        <v>0</v>
      </c>
      <c r="FL191" s="116" t="str">
        <f t="shared" si="38"/>
        <v>B2B/B2C</v>
      </c>
      <c r="FM191" s="125">
        <f t="shared" si="39"/>
        <v>0.3287671233</v>
      </c>
      <c r="FN191" s="116" t="str">
        <f t="shared" si="40"/>
        <v>Low</v>
      </c>
      <c r="FO191" s="125">
        <f t="shared" si="41"/>
        <v>0.4383561644</v>
      </c>
      <c r="FP191" s="116" t="str">
        <f t="shared" si="42"/>
        <v>Low</v>
      </c>
      <c r="FQ191" s="125">
        <f t="shared" si="43"/>
        <v>0.3561643836</v>
      </c>
      <c r="FR191" s="112"/>
      <c r="FS191" s="123">
        <f t="shared" si="44"/>
        <v>5</v>
      </c>
      <c r="FT191" s="123">
        <f t="shared" si="45"/>
        <v>1</v>
      </c>
      <c r="FU191" s="123">
        <f t="shared" si="46"/>
        <v>5</v>
      </c>
      <c r="FV191" s="123">
        <f t="shared" si="47"/>
        <v>4.1</v>
      </c>
      <c r="FW191" s="119">
        <f t="shared" si="48"/>
        <v>15.1</v>
      </c>
      <c r="FX191" s="115">
        <f>1+((FW191-MIN(performance_ratings_sums))*(4)/(MAX(performance_ratings_sums) - MIN(performance_ratings_sums)))</f>
        <v>4.140186916</v>
      </c>
      <c r="FY191" s="116" t="str">
        <f t="shared" si="49"/>
        <v>Pre-Profit</v>
      </c>
      <c r="FZ191" s="126">
        <f t="shared" si="50"/>
        <v>0.4931506849</v>
      </c>
      <c r="GA191" s="112"/>
      <c r="GB191" s="127">
        <f t="shared" si="51"/>
        <v>1</v>
      </c>
      <c r="GC191" s="116" t="str">
        <f t="shared" si="52"/>
        <v>Yes</v>
      </c>
      <c r="GD191" s="126">
        <f t="shared" si="53"/>
        <v>0.2328767123</v>
      </c>
      <c r="GE191" s="126" t="str">
        <f t="shared" si="54"/>
        <v/>
      </c>
      <c r="GF191" s="126">
        <f t="shared" si="55"/>
        <v>0</v>
      </c>
      <c r="GG191" s="126" t="str">
        <f t="shared" si="56"/>
        <v/>
      </c>
      <c r="GH191" s="126">
        <f t="shared" si="57"/>
        <v>0</v>
      </c>
      <c r="GI191" s="112"/>
      <c r="GJ191" s="116"/>
      <c r="GK191" s="119">
        <f t="shared" si="58"/>
        <v>13.80822658</v>
      </c>
      <c r="GL191" s="128">
        <f>1+((GK191-MIN(ratings_sums))*(4)/(MAX(ratings_sums) - MIN(ratings_sums)))</f>
        <v>3.029511995</v>
      </c>
    </row>
    <row r="192" ht="15.75" customHeight="1">
      <c r="A192" s="161" t="s">
        <v>1128</v>
      </c>
      <c r="B192" s="15">
        <v>1776303.0</v>
      </c>
      <c r="C192" s="162" t="s">
        <v>1357</v>
      </c>
      <c r="D192" s="209">
        <v>43783.410416666666</v>
      </c>
      <c r="E192" s="15" t="s">
        <v>392</v>
      </c>
      <c r="F192" s="164" t="s">
        <v>1358</v>
      </c>
      <c r="G192" s="164" t="s">
        <v>1359</v>
      </c>
      <c r="H192" s="173">
        <v>43767.0</v>
      </c>
      <c r="I192" s="162" t="s">
        <v>1360</v>
      </c>
      <c r="J192" s="162" t="s">
        <v>1357</v>
      </c>
      <c r="K192" s="15" t="s">
        <v>529</v>
      </c>
      <c r="L192" s="15" t="s">
        <v>264</v>
      </c>
      <c r="M192" s="15" t="s">
        <v>31</v>
      </c>
      <c r="N192" s="15" t="s">
        <v>82</v>
      </c>
      <c r="O192" s="15" t="s">
        <v>35</v>
      </c>
      <c r="Q192" s="15" t="s">
        <v>195</v>
      </c>
      <c r="R192" s="166"/>
      <c r="S192" s="120"/>
      <c r="T192" s="69"/>
      <c r="U192" s="121">
        <v>6750000.0</v>
      </c>
      <c r="V192" s="132">
        <v>0.0</v>
      </c>
      <c r="W192" s="96">
        <f t="shared" si="125"/>
        <v>6750000</v>
      </c>
      <c r="X192" s="98">
        <f t="shared" si="126"/>
        <v>6750000</v>
      </c>
      <c r="Y192" s="99" t="str">
        <f t="shared" si="127"/>
        <v>$6M - $8M</v>
      </c>
      <c r="Z192" s="15" t="s">
        <v>86</v>
      </c>
      <c r="AA192" s="15" t="s">
        <v>123</v>
      </c>
      <c r="AB192" s="15" t="s">
        <v>88</v>
      </c>
      <c r="AC192" s="15" t="s">
        <v>493</v>
      </c>
      <c r="AD192" s="15" t="s">
        <v>39</v>
      </c>
      <c r="AE192" s="15" t="s">
        <v>89</v>
      </c>
      <c r="AF192" s="15" t="s">
        <v>469</v>
      </c>
      <c r="AG192" s="69">
        <v>3.015E12</v>
      </c>
      <c r="AH192" s="97" t="str">
        <f t="shared" si="128"/>
        <v>&gt; $1T</v>
      </c>
      <c r="AI192" s="69">
        <v>3.015E12</v>
      </c>
      <c r="AJ192" s="97" t="str">
        <f t="shared" si="129"/>
        <v>&gt; $1T</v>
      </c>
      <c r="AK192" s="167">
        <v>0.04</v>
      </c>
      <c r="AL192" s="88" t="str">
        <f t="shared" si="130"/>
        <v>0%-10%</v>
      </c>
      <c r="AM192" s="15">
        <v>3.0</v>
      </c>
      <c r="AN192" s="15" t="s">
        <v>39</v>
      </c>
      <c r="AO192" s="15" t="s">
        <v>39</v>
      </c>
      <c r="AP192" s="15" t="s">
        <v>90</v>
      </c>
      <c r="AQ192" s="168"/>
      <c r="AR192" s="168"/>
      <c r="AS192" s="15" t="s">
        <v>469</v>
      </c>
      <c r="AT192" s="15" t="s">
        <v>469</v>
      </c>
      <c r="AU192" s="15" t="s">
        <v>493</v>
      </c>
      <c r="AV192" s="15" t="s">
        <v>493</v>
      </c>
      <c r="AW192" s="69">
        <v>2332.0</v>
      </c>
      <c r="AX192" s="96" t="str">
        <f t="shared" si="131"/>
        <v>&lt; $10K</v>
      </c>
      <c r="AY192" s="69">
        <v>24799.0</v>
      </c>
      <c r="AZ192" s="69">
        <v>286233.0</v>
      </c>
      <c r="BA192" s="103" t="str">
        <f t="shared" si="132"/>
        <v>$100K - $500K</v>
      </c>
      <c r="BB192" s="103">
        <f t="shared" si="133"/>
        <v>0.08663920652</v>
      </c>
      <c r="BC192" s="103" t="str">
        <f t="shared" si="134"/>
        <v>&lt; 10%</v>
      </c>
      <c r="BD192" s="15" t="s">
        <v>107</v>
      </c>
      <c r="BF192" s="15" t="s">
        <v>493</v>
      </c>
      <c r="BG192" s="15">
        <v>90.0</v>
      </c>
      <c r="BH192" s="15">
        <v>2.0</v>
      </c>
      <c r="BI192" s="15" t="s">
        <v>493</v>
      </c>
      <c r="BJ192" s="15" t="s">
        <v>469</v>
      </c>
      <c r="BK192" s="15" t="s">
        <v>469</v>
      </c>
      <c r="BL192" s="15" t="s">
        <v>469</v>
      </c>
      <c r="BM192" s="15">
        <v>3.0</v>
      </c>
      <c r="BN192" s="15">
        <v>4.0</v>
      </c>
      <c r="BO192" s="15">
        <v>0.0</v>
      </c>
      <c r="BP192" s="15">
        <v>0.0</v>
      </c>
      <c r="BQ192" s="108"/>
      <c r="BR192" s="15">
        <v>1.0</v>
      </c>
      <c r="BS192" s="15">
        <v>0.0</v>
      </c>
      <c r="BT192" s="15">
        <v>0.0</v>
      </c>
      <c r="BU192" s="15">
        <v>32.0</v>
      </c>
      <c r="BV192" s="15" t="s">
        <v>469</v>
      </c>
      <c r="BW192" s="108"/>
      <c r="BX192" s="15">
        <v>3.0</v>
      </c>
      <c r="BY192" s="15">
        <v>2.0</v>
      </c>
      <c r="BZ192" s="15">
        <v>2.0</v>
      </c>
      <c r="CA192" s="15">
        <v>33.0</v>
      </c>
      <c r="CB192" s="15" t="s">
        <v>469</v>
      </c>
      <c r="CC192" s="108"/>
      <c r="CI192" s="108"/>
      <c r="CO192" s="108"/>
      <c r="CU192" s="108"/>
      <c r="DA192" s="108"/>
      <c r="DG192" s="108"/>
      <c r="DM192" s="108"/>
      <c r="DS192" s="108"/>
      <c r="DT192" s="108"/>
      <c r="DU192" s="108"/>
      <c r="DW192" s="109"/>
      <c r="DX192" s="110">
        <f t="shared" si="13"/>
        <v>2</v>
      </c>
      <c r="DY192" s="111">
        <f t="shared" ref="DY192:DZ192" si="443">sum(BS192,BY192,CE192,CK192,CQ192,CW192,DC192,DI192,DO192)</f>
        <v>2</v>
      </c>
      <c r="DZ192" s="111">
        <f t="shared" si="443"/>
        <v>2</v>
      </c>
      <c r="EA192" s="110">
        <f t="shared" si="15"/>
        <v>32.5</v>
      </c>
      <c r="EB192" s="99" t="str">
        <f t="shared" si="16"/>
        <v>20 - 34</v>
      </c>
      <c r="EC192" s="112"/>
      <c r="ED192" s="113">
        <f t="shared" si="17"/>
        <v>4.2</v>
      </c>
      <c r="EE192" s="114">
        <f>IF(V192 &lt;&gt; "", 1+((V192-MIN(discount_rates))*(4)/(MAX(discount_rates) - MIN(discount_rates))), "")</f>
        <v>1</v>
      </c>
      <c r="EF192" s="114" t="str">
        <f>IF(Q192="Debt", (1+((S192-MIN(interest_rates))*(4)/(MAX(interest_rates) - MIN(interest_rates)))), "")</f>
        <v/>
      </c>
      <c r="EG192" s="114" t="str">
        <f>IF(OR(Q192="Revenue Share", Q192="Profit Share"), (1+((R192-MIN(return_mutiples))*(4)/(MAX(return_mutiples) - MIN(return_mutiples)))), "")</f>
        <v/>
      </c>
      <c r="EH192" s="115">
        <f t="shared" si="18"/>
        <v>4.2</v>
      </c>
      <c r="EI192" s="116" t="str">
        <f t="shared" si="19"/>
        <v>SAFE</v>
      </c>
      <c r="EJ192" s="117">
        <f t="shared" si="20"/>
        <v>0.3561643836</v>
      </c>
      <c r="EK192" s="116" t="str">
        <f t="shared" si="21"/>
        <v>Early</v>
      </c>
      <c r="EL192" s="112"/>
      <c r="EM192" s="118">
        <f t="shared" si="22"/>
        <v>5</v>
      </c>
      <c r="EN192" s="118">
        <f t="shared" si="23"/>
        <v>1.7</v>
      </c>
      <c r="EO192" s="119">
        <f t="shared" si="24"/>
        <v>6.7</v>
      </c>
      <c r="EP192" s="115">
        <f>1+((EO192-MIN(market_ratings_sums))*(4)/(MAX(market_ratings_sums) - MIN(market_ratings_sums)))</f>
        <v>3.807017544</v>
      </c>
      <c r="EQ192" s="116" t="str">
        <f t="shared" si="25"/>
        <v>No</v>
      </c>
      <c r="ER192" s="112"/>
      <c r="ES192" s="123">
        <f>1+((DX192-MIN(industry_experiences))*(4)/(MAX(industry_experiences) - MIN(industry_experiences)))</f>
        <v>1.19047619</v>
      </c>
      <c r="ET192" s="123">
        <f>1+((DY192-MIN(previous_startups))*(4)/(MAX(previous_startups) - MIN(previous_startups)))</f>
        <v>1.888888889</v>
      </c>
      <c r="EU192" s="123">
        <f>1+((DZ192-MIN(exits))*(4)/(MAX(exits) - MIN(exits)))</f>
        <v>3</v>
      </c>
      <c r="EV192" s="119">
        <f t="shared" si="26"/>
        <v>6.079365079</v>
      </c>
      <c r="EW192" s="124">
        <f>1+((EV192-MIN(team_ratings_sums))*(4)/(MAX(team_ratings_sums) - MIN(team_ratings_sums)))</f>
        <v>2.686956522</v>
      </c>
      <c r="EX192" s="116" t="str">
        <f t="shared" si="27"/>
        <v>20 - 34</v>
      </c>
      <c r="EY192" s="125">
        <f t="shared" si="28"/>
        <v>0.2054794521</v>
      </c>
      <c r="EZ192" s="116">
        <f t="shared" si="29"/>
        <v>2</v>
      </c>
      <c r="FA192" s="125">
        <f t="shared" si="30"/>
        <v>0.4520547945</v>
      </c>
      <c r="FB192" s="116">
        <f t="shared" si="31"/>
        <v>4</v>
      </c>
      <c r="FC192" s="125">
        <f t="shared" si="32"/>
        <v>0.1369863014</v>
      </c>
      <c r="FD192" s="116" t="str">
        <f t="shared" si="33"/>
        <v>Yes</v>
      </c>
      <c r="FE192" s="125">
        <f t="shared" si="34"/>
        <v>0.2465753425</v>
      </c>
      <c r="FF192" s="116" t="str">
        <f t="shared" ref="FF192:FH192" si="444">BJ192</f>
        <v>No</v>
      </c>
      <c r="FG192" s="116" t="str">
        <f t="shared" si="444"/>
        <v>No</v>
      </c>
      <c r="FH192" s="116" t="str">
        <f t="shared" si="444"/>
        <v>No</v>
      </c>
      <c r="FI192" s="112"/>
      <c r="FJ192" s="116" t="str">
        <f t="shared" si="36"/>
        <v>Recurring</v>
      </c>
      <c r="FK192" s="125">
        <f t="shared" si="37"/>
        <v>0.397260274</v>
      </c>
      <c r="FL192" s="116" t="str">
        <f t="shared" si="38"/>
        <v>B2B/B2C</v>
      </c>
      <c r="FM192" s="125">
        <f t="shared" si="39"/>
        <v>0.3287671233</v>
      </c>
      <c r="FN192" s="116" t="str">
        <f t="shared" si="40"/>
        <v>High</v>
      </c>
      <c r="FO192" s="125">
        <f t="shared" si="41"/>
        <v>0.5616438356</v>
      </c>
      <c r="FP192" s="116" t="str">
        <f t="shared" si="42"/>
        <v>Low</v>
      </c>
      <c r="FQ192" s="125">
        <f t="shared" si="43"/>
        <v>0.3561643836</v>
      </c>
      <c r="FR192" s="112"/>
      <c r="FS192" s="123">
        <f t="shared" si="44"/>
        <v>5</v>
      </c>
      <c r="FT192" s="123">
        <f t="shared" si="45"/>
        <v>1</v>
      </c>
      <c r="FU192" s="123">
        <f t="shared" si="46"/>
        <v>5</v>
      </c>
      <c r="FV192" s="123">
        <f t="shared" si="47"/>
        <v>3.7</v>
      </c>
      <c r="FW192" s="119">
        <f t="shared" si="48"/>
        <v>14.7</v>
      </c>
      <c r="FX192" s="115">
        <f>1+((FW192-MIN(performance_ratings_sums))*(4)/(MAX(performance_ratings_sums) - MIN(performance_ratings_sums)))</f>
        <v>3.990654206</v>
      </c>
      <c r="FY192" s="116" t="str">
        <f t="shared" si="49"/>
        <v>Pre-Profit</v>
      </c>
      <c r="FZ192" s="126">
        <f t="shared" si="50"/>
        <v>0.4931506849</v>
      </c>
      <c r="GA192" s="112"/>
      <c r="GB192" s="127">
        <f t="shared" si="51"/>
        <v>5</v>
      </c>
      <c r="GC192" s="116" t="str">
        <f t="shared" si="52"/>
        <v>No</v>
      </c>
      <c r="GD192" s="126">
        <f t="shared" si="53"/>
        <v>0.7671232877</v>
      </c>
      <c r="GE192" s="126" t="str">
        <f t="shared" si="54"/>
        <v/>
      </c>
      <c r="GF192" s="126">
        <f t="shared" si="55"/>
        <v>0</v>
      </c>
      <c r="GG192" s="126" t="str">
        <f t="shared" si="56"/>
        <v/>
      </c>
      <c r="GH192" s="126">
        <f t="shared" si="57"/>
        <v>0</v>
      </c>
      <c r="GI192" s="112"/>
      <c r="GJ192" s="116"/>
      <c r="GK192" s="119">
        <f t="shared" si="58"/>
        <v>19.68462827</v>
      </c>
      <c r="GL192" s="128">
        <f>1+((GK192-MIN(ratings_sums))*(4)/(MAX(ratings_sums) - MIN(ratings_sums)))</f>
        <v>4.832626899</v>
      </c>
    </row>
    <row r="193" ht="15.75" customHeight="1">
      <c r="A193" s="161" t="s">
        <v>1128</v>
      </c>
      <c r="B193" s="15">
        <v>1654300.0</v>
      </c>
      <c r="C193" s="162" t="s">
        <v>1361</v>
      </c>
      <c r="D193" s="209">
        <v>43784.39236111111</v>
      </c>
      <c r="E193" s="15" t="s">
        <v>396</v>
      </c>
      <c r="F193" s="164" t="s">
        <v>1362</v>
      </c>
      <c r="G193" s="164" t="s">
        <v>1363</v>
      </c>
      <c r="H193" s="210">
        <v>43886.0</v>
      </c>
      <c r="I193" s="162" t="s">
        <v>1364</v>
      </c>
      <c r="J193" s="162" t="s">
        <v>1361</v>
      </c>
      <c r="K193" s="15" t="s">
        <v>445</v>
      </c>
      <c r="L193" s="15" t="s">
        <v>221</v>
      </c>
      <c r="M193" s="15" t="s">
        <v>81</v>
      </c>
      <c r="N193" s="15" t="s">
        <v>101</v>
      </c>
      <c r="O193" s="15" t="s">
        <v>35</v>
      </c>
      <c r="Q193" s="15" t="s">
        <v>121</v>
      </c>
      <c r="R193" s="166"/>
      <c r="S193" s="120"/>
      <c r="T193" s="69">
        <v>3.15355E7</v>
      </c>
      <c r="U193" s="69"/>
      <c r="V193" s="132"/>
      <c r="W193" s="96" t="str">
        <f t="shared" si="125"/>
        <v/>
      </c>
      <c r="X193" s="98">
        <f t="shared" si="126"/>
        <v>31535500</v>
      </c>
      <c r="Y193" s="99" t="str">
        <f t="shared" si="127"/>
        <v>$30M - $32M</v>
      </c>
      <c r="Z193" s="15" t="s">
        <v>36</v>
      </c>
      <c r="AA193" s="15" t="s">
        <v>87</v>
      </c>
      <c r="AB193" s="15" t="s">
        <v>88</v>
      </c>
      <c r="AC193" s="15" t="s">
        <v>493</v>
      </c>
      <c r="AD193" s="15" t="s">
        <v>39</v>
      </c>
      <c r="AE193" s="15" t="s">
        <v>89</v>
      </c>
      <c r="AF193" s="15" t="s">
        <v>469</v>
      </c>
      <c r="AG193" s="69">
        <v>1.306E10</v>
      </c>
      <c r="AH193" s="97" t="str">
        <f t="shared" si="128"/>
        <v>$10B-$25B</v>
      </c>
      <c r="AI193" s="69">
        <v>1.306E10</v>
      </c>
      <c r="AJ193" s="97" t="str">
        <f t="shared" si="129"/>
        <v>$10B-$25B</v>
      </c>
      <c r="AK193" s="167">
        <v>0.05</v>
      </c>
      <c r="AL193" s="88" t="str">
        <f t="shared" si="130"/>
        <v>0%-10%</v>
      </c>
      <c r="AM193" s="32">
        <v>15.0</v>
      </c>
      <c r="AN193" s="15" t="s">
        <v>89</v>
      </c>
      <c r="AO193" s="15" t="s">
        <v>89</v>
      </c>
      <c r="AP193" s="15" t="s">
        <v>40</v>
      </c>
      <c r="AQ193" s="168"/>
      <c r="AR193" s="168"/>
      <c r="AS193" s="15" t="s">
        <v>469</v>
      </c>
      <c r="AT193" s="15" t="s">
        <v>469</v>
      </c>
      <c r="AU193" s="15" t="s">
        <v>493</v>
      </c>
      <c r="AV193" s="15" t="s">
        <v>493</v>
      </c>
      <c r="AW193" s="69">
        <v>927143.0</v>
      </c>
      <c r="AX193" s="96" t="str">
        <f t="shared" si="131"/>
        <v>$500K - $1M</v>
      </c>
      <c r="AY193" s="69">
        <v>7645.0</v>
      </c>
      <c r="AZ193" s="69">
        <v>1476214.0</v>
      </c>
      <c r="BA193" s="103" t="str">
        <f t="shared" si="132"/>
        <v>$1M - $2M</v>
      </c>
      <c r="BB193" s="103">
        <f t="shared" si="133"/>
        <v>0.005178788441</v>
      </c>
      <c r="BC193" s="103" t="str">
        <f t="shared" si="134"/>
        <v>&lt; 10%</v>
      </c>
      <c r="BD193" s="15" t="s">
        <v>107</v>
      </c>
      <c r="BF193" s="15" t="s">
        <v>469</v>
      </c>
      <c r="BG193" s="15">
        <v>0.0</v>
      </c>
      <c r="BH193" s="15">
        <v>2.0</v>
      </c>
      <c r="BI193" s="15" t="s">
        <v>493</v>
      </c>
      <c r="BJ193" s="15" t="s">
        <v>469</v>
      </c>
      <c r="BK193" s="15" t="s">
        <v>469</v>
      </c>
      <c r="BL193" s="15" t="s">
        <v>469</v>
      </c>
      <c r="BM193" s="15">
        <v>0.0</v>
      </c>
      <c r="BN193" s="15">
        <v>8.0</v>
      </c>
      <c r="BO193" s="15">
        <v>0.0</v>
      </c>
      <c r="BP193" s="15">
        <v>0.0</v>
      </c>
      <c r="BQ193" s="108"/>
      <c r="BR193" s="15">
        <v>20.0</v>
      </c>
      <c r="BS193" s="15">
        <v>0.0</v>
      </c>
      <c r="BT193" s="15">
        <v>0.0</v>
      </c>
      <c r="BU193" s="15">
        <v>42.0</v>
      </c>
      <c r="BV193" s="15" t="s">
        <v>469</v>
      </c>
      <c r="BW193" s="108"/>
      <c r="BX193" s="15">
        <v>20.0</v>
      </c>
      <c r="BY193" s="15">
        <v>0.0</v>
      </c>
      <c r="BZ193" s="15">
        <v>0.0</v>
      </c>
      <c r="CB193" s="15" t="s">
        <v>469</v>
      </c>
      <c r="CC193" s="108"/>
      <c r="CI193" s="108"/>
      <c r="CO193" s="108"/>
      <c r="CU193" s="108"/>
      <c r="DA193" s="108"/>
      <c r="DG193" s="108"/>
      <c r="DM193" s="108"/>
      <c r="DS193" s="108"/>
      <c r="DT193" s="108"/>
      <c r="DU193" s="108"/>
      <c r="DW193" s="109"/>
      <c r="DX193" s="110">
        <f t="shared" si="13"/>
        <v>20</v>
      </c>
      <c r="DY193" s="111">
        <f t="shared" ref="DY193:DZ193" si="445">sum(BS193,BY193,CE193,CK193,CQ193,CW193,DC193,DI193,DO193)</f>
        <v>0</v>
      </c>
      <c r="DZ193" s="111">
        <f t="shared" si="445"/>
        <v>0</v>
      </c>
      <c r="EA193" s="110">
        <f t="shared" si="15"/>
        <v>42</v>
      </c>
      <c r="EB193" s="99" t="str">
        <f t="shared" si="16"/>
        <v>35 - 54</v>
      </c>
      <c r="EC193" s="112"/>
      <c r="ED193" s="113">
        <f t="shared" si="17"/>
        <v>2</v>
      </c>
      <c r="EE193" s="114" t="str">
        <f>IF(V193 &lt;&gt; "", 1+((V193-MIN(discount_rates))*(4)/(MAX(discount_rates) - MIN(discount_rates))), "")</f>
        <v/>
      </c>
      <c r="EF193" s="114" t="str">
        <f>IF(Q193="Debt", (1+((S193-MIN(interest_rates))*(4)/(MAX(interest_rates) - MIN(interest_rates)))), "")</f>
        <v/>
      </c>
      <c r="EG193" s="114" t="str">
        <f>IF(OR(Q193="Revenue Share", Q193="Profit Share"), (1+((R193-MIN(return_mutiples))*(4)/(MAX(return_mutiples) - MIN(return_mutiples)))), "")</f>
        <v/>
      </c>
      <c r="EH193" s="115">
        <f t="shared" si="18"/>
        <v>2</v>
      </c>
      <c r="EI193" s="116" t="str">
        <f t="shared" si="19"/>
        <v>Equity - Common</v>
      </c>
      <c r="EJ193" s="117">
        <f t="shared" si="20"/>
        <v>0.3287671233</v>
      </c>
      <c r="EK193" s="116" t="str">
        <f t="shared" si="21"/>
        <v>Growth</v>
      </c>
      <c r="EL193" s="112"/>
      <c r="EM193" s="118">
        <f t="shared" si="22"/>
        <v>3.3</v>
      </c>
      <c r="EN193" s="118">
        <f t="shared" si="23"/>
        <v>1.7</v>
      </c>
      <c r="EO193" s="119">
        <f t="shared" si="24"/>
        <v>5</v>
      </c>
      <c r="EP193" s="115">
        <f>1+((EO193-MIN(market_ratings_sums))*(4)/(MAX(market_ratings_sums) - MIN(market_ratings_sums)))</f>
        <v>2.614035088</v>
      </c>
      <c r="EQ193" s="116" t="str">
        <f t="shared" si="25"/>
        <v>No</v>
      </c>
      <c r="ER193" s="112"/>
      <c r="ES193" s="123">
        <f>1+((DX193-MIN(industry_experiences))*(4)/(MAX(industry_experiences) - MIN(industry_experiences)))</f>
        <v>2.904761905</v>
      </c>
      <c r="ET193" s="123">
        <f>1+((DY193-MIN(previous_startups))*(4)/(MAX(previous_startups) - MIN(previous_startups)))</f>
        <v>1</v>
      </c>
      <c r="EU193" s="123">
        <f>1+((DZ193-MIN(exits))*(4)/(MAX(exits) - MIN(exits)))</f>
        <v>1</v>
      </c>
      <c r="EV193" s="119">
        <f t="shared" si="26"/>
        <v>4.904761905</v>
      </c>
      <c r="EW193" s="124">
        <f>1+((EV193-MIN(team_ratings_sums))*(4)/(MAX(team_ratings_sums) - MIN(team_ratings_sums)))</f>
        <v>2.043478261</v>
      </c>
      <c r="EX193" s="116" t="str">
        <f t="shared" si="27"/>
        <v>35 - 54</v>
      </c>
      <c r="EY193" s="125">
        <f t="shared" si="28"/>
        <v>0.6849315068</v>
      </c>
      <c r="EZ193" s="116">
        <f t="shared" si="29"/>
        <v>2</v>
      </c>
      <c r="FA193" s="125">
        <f t="shared" si="30"/>
        <v>0.4520547945</v>
      </c>
      <c r="FB193" s="116">
        <f t="shared" si="31"/>
        <v>8</v>
      </c>
      <c r="FC193" s="125">
        <f t="shared" si="32"/>
        <v>0.05479452055</v>
      </c>
      <c r="FD193" s="116" t="str">
        <f t="shared" si="33"/>
        <v>Yes</v>
      </c>
      <c r="FE193" s="125">
        <f t="shared" si="34"/>
        <v>0.2465753425</v>
      </c>
      <c r="FF193" s="116" t="str">
        <f t="shared" ref="FF193:FH193" si="446">BJ193</f>
        <v>No</v>
      </c>
      <c r="FG193" s="116" t="str">
        <f t="shared" si="446"/>
        <v>No</v>
      </c>
      <c r="FH193" s="116" t="str">
        <f t="shared" si="446"/>
        <v>No</v>
      </c>
      <c r="FI193" s="112"/>
      <c r="FJ193" s="116" t="str">
        <f t="shared" si="36"/>
        <v>Transactional</v>
      </c>
      <c r="FK193" s="125">
        <f t="shared" si="37"/>
        <v>0.602739726</v>
      </c>
      <c r="FL193" s="116" t="str">
        <f t="shared" si="38"/>
        <v>B2C</v>
      </c>
      <c r="FM193" s="125">
        <f t="shared" si="39"/>
        <v>0.397260274</v>
      </c>
      <c r="FN193" s="116" t="str">
        <f t="shared" si="40"/>
        <v>High</v>
      </c>
      <c r="FO193" s="125">
        <f t="shared" si="41"/>
        <v>0.5616438356</v>
      </c>
      <c r="FP193" s="116" t="str">
        <f t="shared" si="42"/>
        <v>Low</v>
      </c>
      <c r="FQ193" s="125">
        <f t="shared" si="43"/>
        <v>0.3561643836</v>
      </c>
      <c r="FR193" s="112"/>
      <c r="FS193" s="123">
        <f t="shared" si="44"/>
        <v>5</v>
      </c>
      <c r="FT193" s="123">
        <f t="shared" si="45"/>
        <v>2.8</v>
      </c>
      <c r="FU193" s="123">
        <f t="shared" si="46"/>
        <v>5</v>
      </c>
      <c r="FV193" s="123">
        <f t="shared" si="47"/>
        <v>2.8</v>
      </c>
      <c r="FW193" s="119">
        <f t="shared" si="48"/>
        <v>15.6</v>
      </c>
      <c r="FX193" s="115">
        <f>1+((FW193-MIN(performance_ratings_sums))*(4)/(MAX(performance_ratings_sums) - MIN(performance_ratings_sums)))</f>
        <v>4.327102804</v>
      </c>
      <c r="FY193" s="116" t="str">
        <f t="shared" si="49"/>
        <v>Pre-Profit</v>
      </c>
      <c r="FZ193" s="126">
        <f t="shared" si="50"/>
        <v>0.4931506849</v>
      </c>
      <c r="GA193" s="112"/>
      <c r="GB193" s="127">
        <f t="shared" si="51"/>
        <v>1</v>
      </c>
      <c r="GC193" s="116" t="str">
        <f t="shared" si="52"/>
        <v>No</v>
      </c>
      <c r="GD193" s="126">
        <f t="shared" si="53"/>
        <v>0.7671232877</v>
      </c>
      <c r="GE193" s="126" t="str">
        <f t="shared" si="54"/>
        <v/>
      </c>
      <c r="GF193" s="126">
        <f t="shared" si="55"/>
        <v>0</v>
      </c>
      <c r="GG193" s="126" t="str">
        <f t="shared" si="56"/>
        <v/>
      </c>
      <c r="GH193" s="126">
        <f t="shared" si="57"/>
        <v>0</v>
      </c>
      <c r="GI193" s="112"/>
      <c r="GJ193" s="116"/>
      <c r="GK193" s="119">
        <f t="shared" si="58"/>
        <v>11.98461615</v>
      </c>
      <c r="GL193" s="128">
        <f>1+((GK193-MIN(ratings_sums))*(4)/(MAX(ratings_sums) - MIN(ratings_sums)))</f>
        <v>2.469955431</v>
      </c>
    </row>
    <row r="194" ht="15.75" customHeight="1">
      <c r="A194" s="161" t="s">
        <v>1128</v>
      </c>
      <c r="B194" s="15">
        <v>1794263.0</v>
      </c>
      <c r="C194" s="162" t="s">
        <v>1365</v>
      </c>
      <c r="D194" s="209">
        <v>43784.56180555555</v>
      </c>
      <c r="E194" s="15" t="s">
        <v>363</v>
      </c>
      <c r="F194" s="164" t="s">
        <v>1366</v>
      </c>
      <c r="G194" s="164" t="s">
        <v>1367</v>
      </c>
      <c r="H194" s="173">
        <v>43784.0</v>
      </c>
      <c r="I194" s="162" t="s">
        <v>1368</v>
      </c>
      <c r="J194" s="162" t="s">
        <v>1365</v>
      </c>
      <c r="K194" s="15" t="s">
        <v>457</v>
      </c>
      <c r="L194" s="15" t="s">
        <v>323</v>
      </c>
      <c r="M194" s="15" t="s">
        <v>31</v>
      </c>
      <c r="N194" s="15" t="s">
        <v>32</v>
      </c>
      <c r="O194" s="15" t="s">
        <v>35</v>
      </c>
      <c r="Q194" s="15" t="s">
        <v>34</v>
      </c>
      <c r="R194" s="166"/>
      <c r="S194" s="120"/>
      <c r="T194" s="69"/>
      <c r="U194" s="69">
        <v>3666666.0</v>
      </c>
      <c r="V194" s="132">
        <v>0.0</v>
      </c>
      <c r="W194" s="96">
        <f t="shared" si="125"/>
        <v>3666666</v>
      </c>
      <c r="X194" s="98">
        <f t="shared" si="126"/>
        <v>3666666</v>
      </c>
      <c r="Y194" s="99" t="str">
        <f t="shared" si="127"/>
        <v>$2M - $4M</v>
      </c>
      <c r="Z194" s="15" t="s">
        <v>36</v>
      </c>
      <c r="AA194" s="15" t="s">
        <v>123</v>
      </c>
      <c r="AB194" s="15" t="s">
        <v>38</v>
      </c>
      <c r="AC194" s="15" t="s">
        <v>493</v>
      </c>
      <c r="AD194" s="15" t="s">
        <v>39</v>
      </c>
      <c r="AE194" s="15" t="s">
        <v>89</v>
      </c>
      <c r="AF194" s="15" t="s">
        <v>469</v>
      </c>
      <c r="AG194" s="69">
        <v>5.72E10</v>
      </c>
      <c r="AH194" s="97" t="str">
        <f t="shared" si="128"/>
        <v>$50B-$100B</v>
      </c>
      <c r="AI194" s="69">
        <v>1.139E10</v>
      </c>
      <c r="AJ194" s="97" t="str">
        <f t="shared" si="129"/>
        <v>$10B-$25B</v>
      </c>
      <c r="AK194" s="167">
        <v>0.08</v>
      </c>
      <c r="AL194" s="88" t="str">
        <f t="shared" si="130"/>
        <v>0%-10%</v>
      </c>
      <c r="AM194" s="15">
        <v>25.0</v>
      </c>
      <c r="AN194" s="15" t="s">
        <v>89</v>
      </c>
      <c r="AO194" s="15" t="s">
        <v>89</v>
      </c>
      <c r="AP194" s="15" t="s">
        <v>40</v>
      </c>
      <c r="AQ194" s="168"/>
      <c r="AR194" s="168"/>
      <c r="AS194" s="15" t="s">
        <v>493</v>
      </c>
      <c r="AT194" s="15" t="s">
        <v>469</v>
      </c>
      <c r="AU194" s="15" t="s">
        <v>493</v>
      </c>
      <c r="AV194" s="15" t="s">
        <v>469</v>
      </c>
      <c r="AW194" s="69">
        <v>0.0</v>
      </c>
      <c r="AX194" s="96" t="str">
        <f t="shared" si="131"/>
        <v>&lt; $10K</v>
      </c>
      <c r="AY194" s="69">
        <v>0.0</v>
      </c>
      <c r="AZ194" s="69">
        <v>0.0</v>
      </c>
      <c r="BA194" s="103" t="str">
        <f t="shared" si="132"/>
        <v>&lt; $10K</v>
      </c>
      <c r="BB194" s="103">
        <f t="shared" si="133"/>
        <v>1</v>
      </c>
      <c r="BC194" s="103" t="str">
        <f t="shared" si="134"/>
        <v>90% - 100%</v>
      </c>
      <c r="BD194" s="15" t="s">
        <v>91</v>
      </c>
      <c r="BF194" s="15" t="s">
        <v>493</v>
      </c>
      <c r="BG194" s="15">
        <v>2.0</v>
      </c>
      <c r="BH194" s="15">
        <v>2.0</v>
      </c>
      <c r="BI194" s="15" t="s">
        <v>469</v>
      </c>
      <c r="BJ194" s="15" t="s">
        <v>493</v>
      </c>
      <c r="BK194" s="15" t="s">
        <v>469</v>
      </c>
      <c r="BL194" s="15" t="s">
        <v>469</v>
      </c>
      <c r="BM194" s="15">
        <v>6.0</v>
      </c>
      <c r="BN194" s="15">
        <v>2.0</v>
      </c>
      <c r="BO194" s="15">
        <v>1.0</v>
      </c>
      <c r="BP194" s="15">
        <v>0.0</v>
      </c>
      <c r="BQ194" s="108"/>
      <c r="BR194" s="15">
        <v>0.0</v>
      </c>
      <c r="BS194" s="15">
        <v>0.0</v>
      </c>
      <c r="BT194" s="15">
        <v>0.0</v>
      </c>
      <c r="BU194" s="15">
        <v>34.0</v>
      </c>
      <c r="BV194" s="15" t="s">
        <v>493</v>
      </c>
      <c r="BW194" s="108"/>
      <c r="BX194" s="15">
        <v>0.0</v>
      </c>
      <c r="BY194" s="15">
        <v>0.0</v>
      </c>
      <c r="BZ194" s="15">
        <v>0.0</v>
      </c>
      <c r="CA194" s="15">
        <v>32.0</v>
      </c>
      <c r="CB194" s="15" t="s">
        <v>493</v>
      </c>
      <c r="CC194" s="108"/>
      <c r="CI194" s="108"/>
      <c r="CO194" s="108"/>
      <c r="CU194" s="108"/>
      <c r="DA194" s="108"/>
      <c r="DG194" s="108"/>
      <c r="DM194" s="108"/>
      <c r="DS194" s="108"/>
      <c r="DT194" s="108"/>
      <c r="DU194" s="108"/>
      <c r="DW194" s="109"/>
      <c r="DX194" s="110">
        <f t="shared" si="13"/>
        <v>0</v>
      </c>
      <c r="DY194" s="111">
        <f t="shared" ref="DY194:DZ194" si="447">sum(BS194,BY194,CE194,CK194,CQ194,CW194,DC194,DI194,DO194)</f>
        <v>0</v>
      </c>
      <c r="DZ194" s="111">
        <f t="shared" si="447"/>
        <v>0</v>
      </c>
      <c r="EA194" s="110">
        <f t="shared" si="15"/>
        <v>33</v>
      </c>
      <c r="EB194" s="99" t="str">
        <f t="shared" si="16"/>
        <v>20 - 34</v>
      </c>
      <c r="EC194" s="112"/>
      <c r="ED194" s="113">
        <f t="shared" si="17"/>
        <v>4.6</v>
      </c>
      <c r="EE194" s="114">
        <f>IF(V194 &lt;&gt; "", 1+((V194-MIN(discount_rates))*(4)/(MAX(discount_rates) - MIN(discount_rates))), "")</f>
        <v>1</v>
      </c>
      <c r="EF194" s="114" t="str">
        <f>IF(Q194="Debt", (1+((S194-MIN(interest_rates))*(4)/(MAX(interest_rates) - MIN(interest_rates)))), "")</f>
        <v/>
      </c>
      <c r="EG194" s="114" t="str">
        <f>IF(OR(Q194="Revenue Share", Q194="Profit Share"), (1+((R194-MIN(return_mutiples))*(4)/(MAX(return_mutiples) - MIN(return_mutiples)))), "")</f>
        <v/>
      </c>
      <c r="EH194" s="115">
        <f t="shared" si="18"/>
        <v>4.6</v>
      </c>
      <c r="EI194" s="116" t="str">
        <f t="shared" si="19"/>
        <v>CAFES</v>
      </c>
      <c r="EJ194" s="117">
        <f t="shared" si="20"/>
        <v>0.1232876712</v>
      </c>
      <c r="EK194" s="116" t="str">
        <f t="shared" si="21"/>
        <v>Early</v>
      </c>
      <c r="EL194" s="112"/>
      <c r="EM194" s="118">
        <f t="shared" si="22"/>
        <v>3.3</v>
      </c>
      <c r="EN194" s="118">
        <f t="shared" si="23"/>
        <v>1.7</v>
      </c>
      <c r="EO194" s="119">
        <f t="shared" si="24"/>
        <v>5</v>
      </c>
      <c r="EP194" s="115">
        <f>1+((EO194-MIN(market_ratings_sums))*(4)/(MAX(market_ratings_sums) - MIN(market_ratings_sums)))</f>
        <v>2.614035088</v>
      </c>
      <c r="EQ194" s="116" t="str">
        <f t="shared" si="25"/>
        <v>Yes</v>
      </c>
      <c r="ER194" s="112"/>
      <c r="ES194" s="123">
        <f>1+((DX194-MIN(industry_experiences))*(4)/(MAX(industry_experiences) - MIN(industry_experiences)))</f>
        <v>1</v>
      </c>
      <c r="ET194" s="123">
        <f>1+((DY194-MIN(previous_startups))*(4)/(MAX(previous_startups) - MIN(previous_startups)))</f>
        <v>1</v>
      </c>
      <c r="EU194" s="123">
        <f>1+((DZ194-MIN(exits))*(4)/(MAX(exits) - MIN(exits)))</f>
        <v>1</v>
      </c>
      <c r="EV194" s="119">
        <f t="shared" si="26"/>
        <v>3</v>
      </c>
      <c r="EW194" s="124">
        <f>1+((EV194-MIN(team_ratings_sums))*(4)/(MAX(team_ratings_sums) - MIN(team_ratings_sums)))</f>
        <v>1</v>
      </c>
      <c r="EX194" s="116" t="str">
        <f t="shared" si="27"/>
        <v>20 - 34</v>
      </c>
      <c r="EY194" s="125">
        <f t="shared" si="28"/>
        <v>0.2054794521</v>
      </c>
      <c r="EZ194" s="116">
        <f t="shared" si="29"/>
        <v>2</v>
      </c>
      <c r="FA194" s="125">
        <f t="shared" si="30"/>
        <v>0.4520547945</v>
      </c>
      <c r="FB194" s="116">
        <f t="shared" si="31"/>
        <v>2</v>
      </c>
      <c r="FC194" s="125">
        <f t="shared" si="32"/>
        <v>0.1369863014</v>
      </c>
      <c r="FD194" s="116" t="str">
        <f t="shared" si="33"/>
        <v>No</v>
      </c>
      <c r="FE194" s="125">
        <f t="shared" si="34"/>
        <v>0.7534246575</v>
      </c>
      <c r="FF194" s="116" t="str">
        <f t="shared" ref="FF194:FH194" si="448">BJ194</f>
        <v>Yes</v>
      </c>
      <c r="FG194" s="116" t="str">
        <f t="shared" si="448"/>
        <v>No</v>
      </c>
      <c r="FH194" s="116" t="str">
        <f t="shared" si="448"/>
        <v>No</v>
      </c>
      <c r="FI194" s="112"/>
      <c r="FJ194" s="116" t="str">
        <f t="shared" si="36"/>
        <v>Transactional</v>
      </c>
      <c r="FK194" s="125">
        <f t="shared" si="37"/>
        <v>0.602739726</v>
      </c>
      <c r="FL194" s="116" t="str">
        <f t="shared" si="38"/>
        <v>B2B/B2C</v>
      </c>
      <c r="FM194" s="125">
        <f t="shared" si="39"/>
        <v>0.3287671233</v>
      </c>
      <c r="FN194" s="116" t="str">
        <f t="shared" si="40"/>
        <v>High</v>
      </c>
      <c r="FO194" s="125">
        <f t="shared" si="41"/>
        <v>0.5616438356</v>
      </c>
      <c r="FP194" s="116" t="str">
        <f t="shared" si="42"/>
        <v>Low</v>
      </c>
      <c r="FQ194" s="125">
        <f t="shared" si="43"/>
        <v>0.3561643836</v>
      </c>
      <c r="FR194" s="112"/>
      <c r="FS194" s="123">
        <f t="shared" si="44"/>
        <v>3</v>
      </c>
      <c r="FT194" s="123">
        <f t="shared" si="45"/>
        <v>1</v>
      </c>
      <c r="FU194" s="123">
        <f t="shared" si="46"/>
        <v>1</v>
      </c>
      <c r="FV194" s="123">
        <f t="shared" si="47"/>
        <v>5</v>
      </c>
      <c r="FW194" s="119">
        <f t="shared" si="48"/>
        <v>10</v>
      </c>
      <c r="FX194" s="115">
        <f>1+((FW194-MIN(performance_ratings_sums))*(4)/(MAX(performance_ratings_sums) - MIN(performance_ratings_sums)))</f>
        <v>2.23364486</v>
      </c>
      <c r="FY194" s="116" t="str">
        <f t="shared" si="49"/>
        <v>Pre-Revenue</v>
      </c>
      <c r="FZ194" s="126">
        <f t="shared" si="50"/>
        <v>0.2054794521</v>
      </c>
      <c r="GA194" s="112"/>
      <c r="GB194" s="127">
        <f t="shared" si="51"/>
        <v>1</v>
      </c>
      <c r="GC194" s="116" t="str">
        <f t="shared" si="52"/>
        <v>No</v>
      </c>
      <c r="GD194" s="126">
        <f t="shared" si="53"/>
        <v>0.7671232877</v>
      </c>
      <c r="GE194" s="126" t="str">
        <f t="shared" si="54"/>
        <v/>
      </c>
      <c r="GF194" s="126">
        <f t="shared" si="55"/>
        <v>0</v>
      </c>
      <c r="GG194" s="126" t="str">
        <f t="shared" si="56"/>
        <v/>
      </c>
      <c r="GH194" s="126">
        <f t="shared" si="57"/>
        <v>0</v>
      </c>
      <c r="GI194" s="112"/>
      <c r="GJ194" s="116"/>
      <c r="GK194" s="119">
        <f t="shared" si="58"/>
        <v>11.44767995</v>
      </c>
      <c r="GL194" s="128">
        <f>1+((GK194-MIN(ratings_sums))*(4)/(MAX(ratings_sums) - MIN(ratings_sums)))</f>
        <v>2.305201943</v>
      </c>
    </row>
    <row r="195" ht="15.75" customHeight="1">
      <c r="A195" s="161" t="s">
        <v>1128</v>
      </c>
      <c r="B195" s="15">
        <v>1398488.0</v>
      </c>
      <c r="C195" s="162" t="s">
        <v>1369</v>
      </c>
      <c r="D195" s="209">
        <v>43787.42847222222</v>
      </c>
      <c r="E195" s="15" t="s">
        <v>350</v>
      </c>
      <c r="F195" s="164" t="s">
        <v>1370</v>
      </c>
      <c r="G195" s="164" t="s">
        <v>1371</v>
      </c>
      <c r="H195" s="173">
        <v>43892.0</v>
      </c>
      <c r="I195" s="162" t="s">
        <v>1372</v>
      </c>
      <c r="J195" s="162" t="s">
        <v>1373</v>
      </c>
      <c r="K195" s="15" t="s">
        <v>457</v>
      </c>
      <c r="L195" s="15" t="s">
        <v>390</v>
      </c>
      <c r="M195" s="15" t="s">
        <v>31</v>
      </c>
      <c r="N195" s="15" t="s">
        <v>82</v>
      </c>
      <c r="O195" s="15" t="s">
        <v>35</v>
      </c>
      <c r="Q195" s="15" t="s">
        <v>121</v>
      </c>
      <c r="R195" s="166"/>
      <c r="S195" s="120"/>
      <c r="T195" s="69">
        <v>9497442.0</v>
      </c>
      <c r="U195" s="69"/>
      <c r="V195" s="132"/>
      <c r="W195" s="96" t="str">
        <f t="shared" si="125"/>
        <v/>
      </c>
      <c r="X195" s="98">
        <f t="shared" si="126"/>
        <v>9497442</v>
      </c>
      <c r="Y195" s="99" t="str">
        <f t="shared" si="127"/>
        <v>$8M - $10M</v>
      </c>
      <c r="Z195" s="15" t="s">
        <v>36</v>
      </c>
      <c r="AA195" s="15" t="s">
        <v>123</v>
      </c>
      <c r="AB195" s="15" t="s">
        <v>38</v>
      </c>
      <c r="AC195" s="15" t="s">
        <v>493</v>
      </c>
      <c r="AD195" s="15" t="s">
        <v>89</v>
      </c>
      <c r="AE195" s="15" t="s">
        <v>89</v>
      </c>
      <c r="AF195" s="15" t="s">
        <v>469</v>
      </c>
      <c r="AG195" s="69">
        <v>1.861E11</v>
      </c>
      <c r="AH195" s="97" t="str">
        <f t="shared" si="128"/>
        <v>$100B-$250B</v>
      </c>
      <c r="AI195" s="69">
        <v>1.861E11</v>
      </c>
      <c r="AJ195" s="97" t="str">
        <f t="shared" si="129"/>
        <v>$100B-$250B</v>
      </c>
      <c r="AK195" s="167">
        <v>0.09</v>
      </c>
      <c r="AL195" s="88" t="str">
        <f t="shared" si="130"/>
        <v>0%-10%</v>
      </c>
      <c r="AM195" s="32">
        <v>6000.0</v>
      </c>
      <c r="AN195" s="15" t="s">
        <v>89</v>
      </c>
      <c r="AO195" s="15" t="s">
        <v>89</v>
      </c>
      <c r="AP195" s="15" t="s">
        <v>40</v>
      </c>
      <c r="AQ195" s="168"/>
      <c r="AR195" s="168"/>
      <c r="AS195" s="15" t="s">
        <v>469</v>
      </c>
      <c r="AT195" s="15" t="s">
        <v>469</v>
      </c>
      <c r="AU195" s="15" t="s">
        <v>493</v>
      </c>
      <c r="AV195" s="15" t="s">
        <v>493</v>
      </c>
      <c r="AW195" s="69">
        <v>0.0</v>
      </c>
      <c r="AX195" s="96" t="str">
        <f t="shared" si="131"/>
        <v>&lt; $10K</v>
      </c>
      <c r="AY195" s="69">
        <v>2465.0</v>
      </c>
      <c r="AZ195" s="69">
        <v>953579.0</v>
      </c>
      <c r="BA195" s="103" t="str">
        <f t="shared" si="132"/>
        <v>$500K - $1M</v>
      </c>
      <c r="BB195" s="103">
        <f t="shared" si="133"/>
        <v>0.002584998202</v>
      </c>
      <c r="BC195" s="103" t="str">
        <f t="shared" si="134"/>
        <v>&lt; 10%</v>
      </c>
      <c r="BD195" s="15" t="s">
        <v>91</v>
      </c>
      <c r="BF195" s="15" t="s">
        <v>469</v>
      </c>
      <c r="BG195" s="15">
        <v>0.0</v>
      </c>
      <c r="BH195" s="15">
        <v>1.0</v>
      </c>
      <c r="BI195" s="15" t="s">
        <v>493</v>
      </c>
      <c r="BJ195" s="15" t="s">
        <v>469</v>
      </c>
      <c r="BK195" s="15" t="s">
        <v>469</v>
      </c>
      <c r="BL195" s="15" t="s">
        <v>469</v>
      </c>
      <c r="BM195" s="15">
        <v>1.0</v>
      </c>
      <c r="BN195" s="15">
        <v>5.0</v>
      </c>
      <c r="BO195" s="15">
        <v>1.0</v>
      </c>
      <c r="BP195" s="15">
        <v>0.0</v>
      </c>
      <c r="BQ195" s="108"/>
      <c r="BR195" s="15">
        <v>14.0</v>
      </c>
      <c r="BS195" s="15">
        <v>1.0</v>
      </c>
      <c r="BT195" s="15">
        <v>0.0</v>
      </c>
      <c r="BU195" s="15">
        <v>52.0</v>
      </c>
      <c r="BV195" s="15" t="s">
        <v>469</v>
      </c>
      <c r="BW195" s="108"/>
      <c r="CC195" s="108"/>
      <c r="CI195" s="108"/>
      <c r="CO195" s="108"/>
      <c r="CU195" s="108"/>
      <c r="DA195" s="108"/>
      <c r="DG195" s="108"/>
      <c r="DM195" s="108"/>
      <c r="DS195" s="108"/>
      <c r="DT195" s="108"/>
      <c r="DU195" s="108"/>
      <c r="DW195" s="109"/>
      <c r="DX195" s="110">
        <f t="shared" si="13"/>
        <v>14</v>
      </c>
      <c r="DY195" s="111">
        <f t="shared" ref="DY195:DZ195" si="449">sum(BS195,BY195,CE195,CK195,CQ195,CW195,DC195,DI195,DO195)</f>
        <v>1</v>
      </c>
      <c r="DZ195" s="111">
        <f t="shared" si="449"/>
        <v>0</v>
      </c>
      <c r="EA195" s="110">
        <f t="shared" si="15"/>
        <v>52</v>
      </c>
      <c r="EB195" s="99" t="str">
        <f t="shared" si="16"/>
        <v>35 - 54</v>
      </c>
      <c r="EC195" s="112"/>
      <c r="ED195" s="113">
        <f t="shared" si="17"/>
        <v>4</v>
      </c>
      <c r="EE195" s="114" t="str">
        <f>IF(V195 &lt;&gt; "", 1+((V195-MIN(discount_rates))*(4)/(MAX(discount_rates) - MIN(discount_rates))), "")</f>
        <v/>
      </c>
      <c r="EF195" s="114" t="str">
        <f>IF(Q195="Debt", (1+((S195-MIN(interest_rates))*(4)/(MAX(interest_rates) - MIN(interest_rates)))), "")</f>
        <v/>
      </c>
      <c r="EG195" s="114" t="str">
        <f>IF(OR(Q195="Revenue Share", Q195="Profit Share"), (1+((R195-MIN(return_mutiples))*(4)/(MAX(return_mutiples) - MIN(return_mutiples)))), "")</f>
        <v/>
      </c>
      <c r="EH195" s="115">
        <f t="shared" si="18"/>
        <v>4</v>
      </c>
      <c r="EI195" s="116" t="str">
        <f t="shared" si="19"/>
        <v>Equity - Common</v>
      </c>
      <c r="EJ195" s="117">
        <f t="shared" si="20"/>
        <v>0.3287671233</v>
      </c>
      <c r="EK195" s="116" t="str">
        <f t="shared" si="21"/>
        <v>Early</v>
      </c>
      <c r="EL195" s="112"/>
      <c r="EM195" s="118">
        <f t="shared" si="22"/>
        <v>4.1</v>
      </c>
      <c r="EN195" s="118">
        <f t="shared" si="23"/>
        <v>1.7</v>
      </c>
      <c r="EO195" s="119">
        <f t="shared" si="24"/>
        <v>5.8</v>
      </c>
      <c r="EP195" s="115">
        <f>1+((EO195-MIN(market_ratings_sums))*(4)/(MAX(market_ratings_sums) - MIN(market_ratings_sums)))</f>
        <v>3.175438596</v>
      </c>
      <c r="EQ195" s="116" t="str">
        <f t="shared" si="25"/>
        <v>No</v>
      </c>
      <c r="ER195" s="112"/>
      <c r="ES195" s="123">
        <f>1+((DX195-MIN(industry_experiences))*(4)/(MAX(industry_experiences) - MIN(industry_experiences)))</f>
        <v>2.333333333</v>
      </c>
      <c r="ET195" s="123">
        <f>1+((DY195-MIN(previous_startups))*(4)/(MAX(previous_startups) - MIN(previous_startups)))</f>
        <v>1.444444444</v>
      </c>
      <c r="EU195" s="123">
        <f>1+((DZ195-MIN(exits))*(4)/(MAX(exits) - MIN(exits)))</f>
        <v>1</v>
      </c>
      <c r="EV195" s="119">
        <f t="shared" si="26"/>
        <v>4.777777778</v>
      </c>
      <c r="EW195" s="124">
        <f>1+((EV195-MIN(team_ratings_sums))*(4)/(MAX(team_ratings_sums) - MIN(team_ratings_sums)))</f>
        <v>1.973913043</v>
      </c>
      <c r="EX195" s="116" t="str">
        <f t="shared" si="27"/>
        <v>35 - 54</v>
      </c>
      <c r="EY195" s="125">
        <f t="shared" si="28"/>
        <v>0.6849315068</v>
      </c>
      <c r="EZ195" s="116">
        <f t="shared" si="29"/>
        <v>1</v>
      </c>
      <c r="FA195" s="125">
        <f t="shared" si="30"/>
        <v>0.4383561644</v>
      </c>
      <c r="FB195" s="116">
        <f t="shared" si="31"/>
        <v>5</v>
      </c>
      <c r="FC195" s="125">
        <f t="shared" si="32"/>
        <v>0.1369863014</v>
      </c>
      <c r="FD195" s="116" t="str">
        <f t="shared" si="33"/>
        <v>Yes</v>
      </c>
      <c r="FE195" s="125">
        <f t="shared" si="34"/>
        <v>0.2465753425</v>
      </c>
      <c r="FF195" s="116" t="str">
        <f t="shared" ref="FF195:FH195" si="450">BJ195</f>
        <v>No</v>
      </c>
      <c r="FG195" s="116" t="str">
        <f t="shared" si="450"/>
        <v>No</v>
      </c>
      <c r="FH195" s="116" t="str">
        <f t="shared" si="450"/>
        <v>No</v>
      </c>
      <c r="FI195" s="112"/>
      <c r="FJ195" s="116" t="str">
        <f t="shared" si="36"/>
        <v>Transactional</v>
      </c>
      <c r="FK195" s="125">
        <f t="shared" si="37"/>
        <v>0.602739726</v>
      </c>
      <c r="FL195" s="116" t="str">
        <f t="shared" si="38"/>
        <v>B2B/B2C</v>
      </c>
      <c r="FM195" s="125">
        <f t="shared" si="39"/>
        <v>0.3287671233</v>
      </c>
      <c r="FN195" s="116" t="str">
        <f t="shared" si="40"/>
        <v>Low</v>
      </c>
      <c r="FO195" s="125">
        <f t="shared" si="41"/>
        <v>0.4383561644</v>
      </c>
      <c r="FP195" s="116" t="str">
        <f t="shared" si="42"/>
        <v>Low</v>
      </c>
      <c r="FQ195" s="125">
        <f t="shared" si="43"/>
        <v>0.3561643836</v>
      </c>
      <c r="FR195" s="112"/>
      <c r="FS195" s="123">
        <f t="shared" si="44"/>
        <v>5</v>
      </c>
      <c r="FT195" s="123">
        <f t="shared" si="45"/>
        <v>1</v>
      </c>
      <c r="FU195" s="123">
        <f t="shared" si="46"/>
        <v>5</v>
      </c>
      <c r="FV195" s="123">
        <f t="shared" si="47"/>
        <v>3.2</v>
      </c>
      <c r="FW195" s="119">
        <f t="shared" si="48"/>
        <v>14.2</v>
      </c>
      <c r="FX195" s="115">
        <f>1+((FW195-MIN(performance_ratings_sums))*(4)/(MAX(performance_ratings_sums) - MIN(performance_ratings_sums)))</f>
        <v>3.803738318</v>
      </c>
      <c r="FY195" s="116" t="str">
        <f t="shared" si="49"/>
        <v>Pre-Revenue</v>
      </c>
      <c r="FZ195" s="126">
        <f t="shared" si="50"/>
        <v>0.2054794521</v>
      </c>
      <c r="GA195" s="112"/>
      <c r="GB195" s="127">
        <f t="shared" si="51"/>
        <v>1</v>
      </c>
      <c r="GC195" s="116" t="str">
        <f t="shared" si="52"/>
        <v>No</v>
      </c>
      <c r="GD195" s="126">
        <f t="shared" si="53"/>
        <v>0.7671232877</v>
      </c>
      <c r="GE195" s="126" t="str">
        <f t="shared" si="54"/>
        <v/>
      </c>
      <c r="GF195" s="126">
        <f t="shared" si="55"/>
        <v>0</v>
      </c>
      <c r="GG195" s="126" t="str">
        <f t="shared" si="56"/>
        <v/>
      </c>
      <c r="GH195" s="126">
        <f t="shared" si="57"/>
        <v>0</v>
      </c>
      <c r="GI195" s="112"/>
      <c r="GJ195" s="116"/>
      <c r="GK195" s="119">
        <f t="shared" si="58"/>
        <v>13.95308996</v>
      </c>
      <c r="GL195" s="128">
        <f>1+((GK195-MIN(ratings_sums))*(4)/(MAX(ratings_sums) - MIN(ratings_sums)))</f>
        <v>3.073961869</v>
      </c>
    </row>
    <row r="196" ht="15.75" customHeight="1">
      <c r="A196" s="161" t="s">
        <v>1128</v>
      </c>
      <c r="B196" s="15">
        <v>1787611.0</v>
      </c>
      <c r="C196" s="162" t="s">
        <v>1374</v>
      </c>
      <c r="D196" s="209">
        <v>43787.436111111114</v>
      </c>
      <c r="E196" s="15" t="s">
        <v>350</v>
      </c>
      <c r="F196" s="164" t="s">
        <v>1375</v>
      </c>
      <c r="G196" s="164" t="s">
        <v>1376</v>
      </c>
      <c r="H196" s="173">
        <v>43871.0</v>
      </c>
      <c r="I196" s="162" t="s">
        <v>1377</v>
      </c>
      <c r="J196" s="162" t="s">
        <v>1374</v>
      </c>
      <c r="K196" s="15" t="s">
        <v>477</v>
      </c>
      <c r="L196" s="15" t="s">
        <v>341</v>
      </c>
      <c r="M196" s="15" t="s">
        <v>31</v>
      </c>
      <c r="N196" s="15" t="s">
        <v>32</v>
      </c>
      <c r="O196" s="15" t="s">
        <v>35</v>
      </c>
      <c r="Q196" s="15" t="s">
        <v>121</v>
      </c>
      <c r="R196" s="166"/>
      <c r="S196" s="120"/>
      <c r="T196" s="69">
        <v>1.0E7</v>
      </c>
      <c r="U196" s="69"/>
      <c r="V196" s="132"/>
      <c r="W196" s="96" t="str">
        <f t="shared" si="125"/>
        <v/>
      </c>
      <c r="X196" s="98">
        <f t="shared" si="126"/>
        <v>10000000</v>
      </c>
      <c r="Y196" s="99" t="str">
        <f t="shared" si="127"/>
        <v>$8M - $10M</v>
      </c>
      <c r="Z196" s="15" t="s">
        <v>36</v>
      </c>
      <c r="AA196" s="15" t="s">
        <v>37</v>
      </c>
      <c r="AB196" s="15" t="s">
        <v>88</v>
      </c>
      <c r="AC196" s="15" t="s">
        <v>493</v>
      </c>
      <c r="AD196" s="15" t="s">
        <v>39</v>
      </c>
      <c r="AE196" s="15" t="s">
        <v>89</v>
      </c>
      <c r="AF196" s="15" t="s">
        <v>469</v>
      </c>
      <c r="AG196" s="69">
        <v>1.224E9</v>
      </c>
      <c r="AH196" s="97" t="str">
        <f t="shared" si="128"/>
        <v>$1B-$5B</v>
      </c>
      <c r="AI196" s="69">
        <v>1.224E9</v>
      </c>
      <c r="AJ196" s="97" t="str">
        <f t="shared" si="129"/>
        <v>$1B-$5B</v>
      </c>
      <c r="AK196" s="167">
        <v>0.07</v>
      </c>
      <c r="AL196" s="88" t="str">
        <f t="shared" si="130"/>
        <v>0%-10%</v>
      </c>
      <c r="AM196" s="15">
        <v>34.0</v>
      </c>
      <c r="AN196" s="15" t="s">
        <v>89</v>
      </c>
      <c r="AO196" s="15" t="s">
        <v>89</v>
      </c>
      <c r="AP196" s="15" t="s">
        <v>40</v>
      </c>
      <c r="AQ196" s="168"/>
      <c r="AR196" s="168"/>
      <c r="AS196" s="15" t="s">
        <v>469</v>
      </c>
      <c r="AT196" s="15" t="s">
        <v>469</v>
      </c>
      <c r="AU196" s="15" t="s">
        <v>493</v>
      </c>
      <c r="AV196" s="15" t="s">
        <v>469</v>
      </c>
      <c r="AW196" s="69">
        <v>0.0</v>
      </c>
      <c r="AX196" s="96" t="str">
        <f t="shared" si="131"/>
        <v>&lt; $10K</v>
      </c>
      <c r="AY196" s="69">
        <v>833.0</v>
      </c>
      <c r="AZ196" s="69">
        <v>10000.0</v>
      </c>
      <c r="BA196" s="103" t="str">
        <f t="shared" si="132"/>
        <v>$10K - $50K</v>
      </c>
      <c r="BB196" s="103">
        <f t="shared" si="133"/>
        <v>0.0833</v>
      </c>
      <c r="BC196" s="103" t="str">
        <f t="shared" si="134"/>
        <v>&lt; 10%</v>
      </c>
      <c r="BD196" s="15" t="s">
        <v>91</v>
      </c>
      <c r="BF196" s="15" t="s">
        <v>469</v>
      </c>
      <c r="BG196" s="15">
        <v>0.0</v>
      </c>
      <c r="BH196" s="15">
        <v>1.0</v>
      </c>
      <c r="BI196" s="15" t="s">
        <v>493</v>
      </c>
      <c r="BJ196" s="15" t="s">
        <v>469</v>
      </c>
      <c r="BK196" s="15" t="s">
        <v>469</v>
      </c>
      <c r="BL196" s="15" t="s">
        <v>469</v>
      </c>
      <c r="BM196" s="15">
        <v>5.0</v>
      </c>
      <c r="BN196" s="15">
        <v>5.0</v>
      </c>
      <c r="BO196" s="15">
        <v>0.0</v>
      </c>
      <c r="BP196" s="15">
        <v>0.0</v>
      </c>
      <c r="BQ196" s="108"/>
      <c r="BR196" s="15">
        <v>41.0</v>
      </c>
      <c r="BS196" s="15">
        <v>0.0</v>
      </c>
      <c r="BT196" s="15">
        <v>0.0</v>
      </c>
      <c r="BU196" s="15">
        <v>67.0</v>
      </c>
      <c r="BV196" s="15" t="s">
        <v>469</v>
      </c>
      <c r="BW196" s="108"/>
      <c r="CC196" s="108"/>
      <c r="CI196" s="108"/>
      <c r="CO196" s="108"/>
      <c r="CU196" s="108"/>
      <c r="DA196" s="108"/>
      <c r="DG196" s="108"/>
      <c r="DM196" s="108"/>
      <c r="DS196" s="108"/>
      <c r="DT196" s="108"/>
      <c r="DU196" s="108"/>
      <c r="DW196" s="109"/>
      <c r="DX196" s="110">
        <f t="shared" si="13"/>
        <v>41</v>
      </c>
      <c r="DY196" s="111">
        <f t="shared" ref="DY196:DZ196" si="451">sum(BS196,BY196,CE196,CK196,CQ196,CW196,DC196,DI196,DO196)</f>
        <v>0</v>
      </c>
      <c r="DZ196" s="111">
        <f t="shared" si="451"/>
        <v>0</v>
      </c>
      <c r="EA196" s="110">
        <f t="shared" si="15"/>
        <v>67</v>
      </c>
      <c r="EB196" s="99" t="str">
        <f t="shared" si="16"/>
        <v>55+</v>
      </c>
      <c r="EC196" s="112"/>
      <c r="ED196" s="113">
        <f t="shared" si="17"/>
        <v>4</v>
      </c>
      <c r="EE196" s="114" t="str">
        <f>IF(V196 &lt;&gt; "", 1+((V196-MIN(discount_rates))*(4)/(MAX(discount_rates) - MIN(discount_rates))), "")</f>
        <v/>
      </c>
      <c r="EF196" s="114" t="str">
        <f>IF(Q196="Debt", (1+((S196-MIN(interest_rates))*(4)/(MAX(interest_rates) - MIN(interest_rates)))), "")</f>
        <v/>
      </c>
      <c r="EG196" s="114" t="str">
        <f>IF(OR(Q196="Revenue Share", Q196="Profit Share"), (1+((R196-MIN(return_mutiples))*(4)/(MAX(return_mutiples) - MIN(return_mutiples)))), "")</f>
        <v/>
      </c>
      <c r="EH196" s="115">
        <f t="shared" si="18"/>
        <v>4</v>
      </c>
      <c r="EI196" s="116" t="str">
        <f t="shared" si="19"/>
        <v>Equity - Common</v>
      </c>
      <c r="EJ196" s="117">
        <f t="shared" si="20"/>
        <v>0.3287671233</v>
      </c>
      <c r="EK196" s="116" t="str">
        <f t="shared" si="21"/>
        <v>Early</v>
      </c>
      <c r="EL196" s="112"/>
      <c r="EM196" s="118">
        <f t="shared" si="22"/>
        <v>2.7</v>
      </c>
      <c r="EN196" s="118">
        <f t="shared" si="23"/>
        <v>1.7</v>
      </c>
      <c r="EO196" s="119">
        <f t="shared" si="24"/>
        <v>4.4</v>
      </c>
      <c r="EP196" s="115">
        <f>1+((EO196-MIN(market_ratings_sums))*(4)/(MAX(market_ratings_sums) - MIN(market_ratings_sums)))</f>
        <v>2.192982456</v>
      </c>
      <c r="EQ196" s="116" t="str">
        <f t="shared" si="25"/>
        <v>No</v>
      </c>
      <c r="ER196" s="112"/>
      <c r="ES196" s="123">
        <f>1+((DX196-MIN(industry_experiences))*(4)/(MAX(industry_experiences) - MIN(industry_experiences)))</f>
        <v>4.904761905</v>
      </c>
      <c r="ET196" s="123">
        <f>1+((DY196-MIN(previous_startups))*(4)/(MAX(previous_startups) - MIN(previous_startups)))</f>
        <v>1</v>
      </c>
      <c r="EU196" s="123">
        <f>1+((DZ196-MIN(exits))*(4)/(MAX(exits) - MIN(exits)))</f>
        <v>1</v>
      </c>
      <c r="EV196" s="119">
        <f t="shared" si="26"/>
        <v>6.904761905</v>
      </c>
      <c r="EW196" s="124">
        <f>1+((EV196-MIN(team_ratings_sums))*(4)/(MAX(team_ratings_sums) - MIN(team_ratings_sums)))</f>
        <v>3.139130435</v>
      </c>
      <c r="EX196" s="116" t="str">
        <f t="shared" si="27"/>
        <v>55+</v>
      </c>
      <c r="EY196" s="125">
        <f t="shared" si="28"/>
        <v>0.1095890411</v>
      </c>
      <c r="EZ196" s="116">
        <f t="shared" si="29"/>
        <v>1</v>
      </c>
      <c r="FA196" s="125">
        <f t="shared" si="30"/>
        <v>0.4383561644</v>
      </c>
      <c r="FB196" s="116">
        <f t="shared" si="31"/>
        <v>5</v>
      </c>
      <c r="FC196" s="125">
        <f t="shared" si="32"/>
        <v>0.1369863014</v>
      </c>
      <c r="FD196" s="116" t="str">
        <f t="shared" si="33"/>
        <v>Yes</v>
      </c>
      <c r="FE196" s="125">
        <f t="shared" si="34"/>
        <v>0.2465753425</v>
      </c>
      <c r="FF196" s="116" t="str">
        <f t="shared" ref="FF196:FH196" si="452">BJ196</f>
        <v>No</v>
      </c>
      <c r="FG196" s="116" t="str">
        <f t="shared" si="452"/>
        <v>No</v>
      </c>
      <c r="FH196" s="116" t="str">
        <f t="shared" si="452"/>
        <v>No</v>
      </c>
      <c r="FI196" s="112"/>
      <c r="FJ196" s="116" t="str">
        <f t="shared" si="36"/>
        <v>Transactional</v>
      </c>
      <c r="FK196" s="125">
        <f t="shared" si="37"/>
        <v>0.602739726</v>
      </c>
      <c r="FL196" s="116" t="str">
        <f t="shared" si="38"/>
        <v>B2B</v>
      </c>
      <c r="FM196" s="125">
        <f t="shared" si="39"/>
        <v>0.2465753425</v>
      </c>
      <c r="FN196" s="116" t="str">
        <f t="shared" si="40"/>
        <v>High</v>
      </c>
      <c r="FO196" s="125">
        <f t="shared" si="41"/>
        <v>0.5616438356</v>
      </c>
      <c r="FP196" s="116" t="str">
        <f t="shared" si="42"/>
        <v>Low</v>
      </c>
      <c r="FQ196" s="125">
        <f t="shared" si="43"/>
        <v>0.3561643836</v>
      </c>
      <c r="FR196" s="112"/>
      <c r="FS196" s="123">
        <f t="shared" si="44"/>
        <v>3</v>
      </c>
      <c r="FT196" s="123">
        <f t="shared" si="45"/>
        <v>1</v>
      </c>
      <c r="FU196" s="123">
        <f t="shared" si="46"/>
        <v>5</v>
      </c>
      <c r="FV196" s="123">
        <f t="shared" si="47"/>
        <v>4.6</v>
      </c>
      <c r="FW196" s="119">
        <f t="shared" si="48"/>
        <v>13.6</v>
      </c>
      <c r="FX196" s="115">
        <f>1+((FW196-MIN(performance_ratings_sums))*(4)/(MAX(performance_ratings_sums) - MIN(performance_ratings_sums)))</f>
        <v>3.579439252</v>
      </c>
      <c r="FY196" s="116" t="str">
        <f t="shared" si="49"/>
        <v>Pre-Revenue</v>
      </c>
      <c r="FZ196" s="126">
        <f t="shared" si="50"/>
        <v>0.2054794521</v>
      </c>
      <c r="GA196" s="112"/>
      <c r="GB196" s="127">
        <f t="shared" si="51"/>
        <v>1</v>
      </c>
      <c r="GC196" s="116" t="str">
        <f t="shared" si="52"/>
        <v>No</v>
      </c>
      <c r="GD196" s="126">
        <f t="shared" si="53"/>
        <v>0.7671232877</v>
      </c>
      <c r="GE196" s="126" t="str">
        <f t="shared" si="54"/>
        <v/>
      </c>
      <c r="GF196" s="126">
        <f t="shared" si="55"/>
        <v>0</v>
      </c>
      <c r="GG196" s="126" t="str">
        <f t="shared" si="56"/>
        <v/>
      </c>
      <c r="GH196" s="126">
        <f t="shared" si="57"/>
        <v>0</v>
      </c>
      <c r="GI196" s="112"/>
      <c r="GJ196" s="116"/>
      <c r="GK196" s="119">
        <f t="shared" si="58"/>
        <v>13.91155214</v>
      </c>
      <c r="GL196" s="128">
        <f>1+((GK196-MIN(ratings_sums))*(4)/(MAX(ratings_sums) - MIN(ratings_sums)))</f>
        <v>3.061216408</v>
      </c>
    </row>
    <row r="197" ht="15.75" customHeight="1">
      <c r="A197" s="161" t="s">
        <v>1128</v>
      </c>
      <c r="B197" s="15">
        <v>1793384.0</v>
      </c>
      <c r="C197" s="162" t="s">
        <v>1378</v>
      </c>
      <c r="D197" s="209">
        <v>43787.47152777778</v>
      </c>
      <c r="E197" s="15" t="s">
        <v>230</v>
      </c>
      <c r="F197" s="164" t="s">
        <v>1379</v>
      </c>
      <c r="G197" s="164" t="s">
        <v>1380</v>
      </c>
      <c r="H197" s="210">
        <v>43788.0</v>
      </c>
      <c r="I197" s="162" t="s">
        <v>1381</v>
      </c>
      <c r="J197" s="162"/>
      <c r="K197" s="15" t="s">
        <v>524</v>
      </c>
      <c r="L197" s="15" t="s">
        <v>221</v>
      </c>
      <c r="M197" s="15" t="s">
        <v>31</v>
      </c>
      <c r="N197" s="15" t="s">
        <v>32</v>
      </c>
      <c r="O197" s="15" t="s">
        <v>35</v>
      </c>
      <c r="Q197" s="15" t="s">
        <v>121</v>
      </c>
      <c r="R197" s="166"/>
      <c r="S197" s="120"/>
      <c r="T197" s="69">
        <v>5000000.0</v>
      </c>
      <c r="U197" s="69"/>
      <c r="V197" s="132"/>
      <c r="W197" s="96" t="str">
        <f t="shared" si="125"/>
        <v/>
      </c>
      <c r="X197" s="98">
        <f t="shared" si="126"/>
        <v>5000000</v>
      </c>
      <c r="Y197" s="99" t="str">
        <f t="shared" si="127"/>
        <v>$4M - $6M</v>
      </c>
      <c r="Z197" s="15" t="s">
        <v>36</v>
      </c>
      <c r="AA197" s="15" t="s">
        <v>123</v>
      </c>
      <c r="AB197" s="15" t="s">
        <v>38</v>
      </c>
      <c r="AC197" s="15" t="s">
        <v>493</v>
      </c>
      <c r="AD197" s="15" t="s">
        <v>89</v>
      </c>
      <c r="AE197" s="15" t="s">
        <v>89</v>
      </c>
      <c r="AF197" s="15" t="s">
        <v>469</v>
      </c>
      <c r="AG197" s="69">
        <v>9.2E12</v>
      </c>
      <c r="AH197" s="97" t="str">
        <f t="shared" si="128"/>
        <v>&gt; $1T</v>
      </c>
      <c r="AI197" s="69">
        <v>5.394E10</v>
      </c>
      <c r="AJ197" s="97" t="str">
        <f t="shared" si="129"/>
        <v>$50B-$100B</v>
      </c>
      <c r="AK197" s="167">
        <v>0.17</v>
      </c>
      <c r="AL197" s="88" t="str">
        <f t="shared" si="130"/>
        <v>10%-20%</v>
      </c>
      <c r="AM197" s="32">
        <v>26.0</v>
      </c>
      <c r="AN197" s="15" t="s">
        <v>89</v>
      </c>
      <c r="AO197" s="15" t="s">
        <v>89</v>
      </c>
      <c r="AP197" s="15" t="s">
        <v>90</v>
      </c>
      <c r="AQ197" s="168"/>
      <c r="AR197" s="168"/>
      <c r="AS197" s="15" t="s">
        <v>469</v>
      </c>
      <c r="AT197" s="15" t="s">
        <v>493</v>
      </c>
      <c r="AU197" s="15" t="s">
        <v>469</v>
      </c>
      <c r="AV197" s="15" t="s">
        <v>469</v>
      </c>
      <c r="AW197" s="69">
        <v>0.0</v>
      </c>
      <c r="AX197" s="96" t="str">
        <f t="shared" si="131"/>
        <v>&lt; $10K</v>
      </c>
      <c r="AY197" s="69">
        <v>0.0</v>
      </c>
      <c r="AZ197" s="69">
        <v>87700.0</v>
      </c>
      <c r="BA197" s="103" t="str">
        <f t="shared" si="132"/>
        <v>$50K - $100K</v>
      </c>
      <c r="BB197" s="103">
        <f t="shared" si="133"/>
        <v>1</v>
      </c>
      <c r="BC197" s="103" t="str">
        <f t="shared" si="134"/>
        <v>90% - 100%</v>
      </c>
      <c r="BD197" s="15" t="s">
        <v>41</v>
      </c>
      <c r="BF197" s="15" t="s">
        <v>469</v>
      </c>
      <c r="BG197" s="15">
        <v>0.0</v>
      </c>
      <c r="BH197" s="15">
        <v>9.0</v>
      </c>
      <c r="BI197" s="15" t="s">
        <v>493</v>
      </c>
      <c r="BJ197" s="15" t="s">
        <v>493</v>
      </c>
      <c r="BK197" s="15" t="s">
        <v>493</v>
      </c>
      <c r="BL197" s="15" t="s">
        <v>469</v>
      </c>
      <c r="BM197" s="15">
        <v>12.0</v>
      </c>
      <c r="BN197" s="15">
        <v>10.0</v>
      </c>
      <c r="BO197" s="15">
        <v>1.0</v>
      </c>
      <c r="BP197" s="15">
        <v>0.0</v>
      </c>
      <c r="BQ197" s="108"/>
      <c r="BR197" s="15">
        <v>3.0</v>
      </c>
      <c r="BS197" s="15">
        <v>0.0</v>
      </c>
      <c r="BT197" s="15">
        <v>0.0</v>
      </c>
      <c r="BU197" s="15">
        <v>42.0</v>
      </c>
      <c r="BV197" s="15" t="s">
        <v>469</v>
      </c>
      <c r="BW197" s="108"/>
      <c r="BX197" s="15">
        <v>0.0</v>
      </c>
      <c r="BY197" s="15">
        <v>1.0</v>
      </c>
      <c r="BZ197" s="15">
        <v>0.0</v>
      </c>
      <c r="CA197" s="15">
        <v>34.0</v>
      </c>
      <c r="CB197" s="15" t="s">
        <v>469</v>
      </c>
      <c r="CC197" s="108"/>
      <c r="CD197" s="15">
        <v>0.0</v>
      </c>
      <c r="CE197" s="15">
        <v>0.0</v>
      </c>
      <c r="CF197" s="15">
        <v>0.0</v>
      </c>
      <c r="CG197" s="15">
        <v>39.0</v>
      </c>
      <c r="CH197" s="15" t="s">
        <v>469</v>
      </c>
      <c r="CI197" s="108"/>
      <c r="CJ197" s="15">
        <v>0.0</v>
      </c>
      <c r="CK197" s="15">
        <v>0.0</v>
      </c>
      <c r="CL197" s="15">
        <v>0.0</v>
      </c>
      <c r="CM197" s="15">
        <v>40.0</v>
      </c>
      <c r="CN197" s="15" t="s">
        <v>469</v>
      </c>
      <c r="CO197" s="108"/>
      <c r="CP197" s="15">
        <v>0.0</v>
      </c>
      <c r="CQ197" s="15">
        <v>0.0</v>
      </c>
      <c r="CR197" s="15">
        <v>0.0</v>
      </c>
      <c r="CS197" s="15">
        <v>39.0</v>
      </c>
      <c r="CT197" s="15" t="s">
        <v>469</v>
      </c>
      <c r="CU197" s="108"/>
      <c r="CW197" s="15">
        <v>8.0</v>
      </c>
      <c r="CX197" s="15">
        <v>0.0</v>
      </c>
      <c r="CY197" s="15">
        <v>0.0</v>
      </c>
      <c r="CZ197" s="15">
        <v>31.0</v>
      </c>
      <c r="DA197" s="108" t="s">
        <v>469</v>
      </c>
      <c r="DD197" s="15">
        <v>0.0</v>
      </c>
      <c r="DE197" s="15">
        <v>0.0</v>
      </c>
      <c r="DF197" s="15">
        <v>0.0</v>
      </c>
      <c r="DG197" s="108"/>
      <c r="DH197" s="15" t="s">
        <v>469</v>
      </c>
      <c r="DK197" s="15">
        <v>0.0</v>
      </c>
      <c r="DL197" s="15">
        <v>0.0</v>
      </c>
      <c r="DM197" s="108">
        <v>0.0</v>
      </c>
      <c r="DN197" s="15">
        <v>49.0</v>
      </c>
      <c r="DO197" s="15" t="s">
        <v>469</v>
      </c>
      <c r="DR197" s="15">
        <v>13.0</v>
      </c>
      <c r="DS197" s="108">
        <v>0.0</v>
      </c>
      <c r="DT197" s="108">
        <v>0.0</v>
      </c>
      <c r="DU197" s="108">
        <v>39.0</v>
      </c>
      <c r="DV197" s="15" t="s">
        <v>469</v>
      </c>
      <c r="DW197" s="109"/>
      <c r="DX197" s="110">
        <f t="shared" si="13"/>
        <v>8.666666667</v>
      </c>
      <c r="DY197" s="111">
        <f t="shared" ref="DY197:DZ197" si="453">sum(BS197,BY197,CE197,CK197,CQ197,CW197,DC197,DI197,DO197)</f>
        <v>9</v>
      </c>
      <c r="DZ197" s="111">
        <f t="shared" si="453"/>
        <v>0</v>
      </c>
      <c r="EA197" s="110">
        <f t="shared" si="15"/>
        <v>24.25</v>
      </c>
      <c r="EB197" s="99" t="str">
        <f t="shared" si="16"/>
        <v>20 - 34</v>
      </c>
      <c r="EC197" s="112"/>
      <c r="ED197" s="113">
        <f t="shared" si="17"/>
        <v>4.4</v>
      </c>
      <c r="EE197" s="114" t="str">
        <f>IF(V197 &lt;&gt; "", 1+((V197-MIN(discount_rates))*(4)/(MAX(discount_rates) - MIN(discount_rates))), "")</f>
        <v/>
      </c>
      <c r="EF197" s="114" t="str">
        <f>IF(Q197="Debt", (1+((S197-MIN(interest_rates))*(4)/(MAX(interest_rates) - MIN(interest_rates)))), "")</f>
        <v/>
      </c>
      <c r="EG197" s="114" t="str">
        <f>IF(OR(Q197="Revenue Share", Q197="Profit Share"), (1+((R197-MIN(return_mutiples))*(4)/(MAX(return_mutiples) - MIN(return_mutiples)))), "")</f>
        <v/>
      </c>
      <c r="EH197" s="115">
        <f t="shared" si="18"/>
        <v>4.4</v>
      </c>
      <c r="EI197" s="116" t="str">
        <f t="shared" si="19"/>
        <v>Equity - Common</v>
      </c>
      <c r="EJ197" s="117">
        <f t="shared" si="20"/>
        <v>0.3287671233</v>
      </c>
      <c r="EK197" s="116" t="str">
        <f t="shared" si="21"/>
        <v>Early</v>
      </c>
      <c r="EL197" s="112"/>
      <c r="EM197" s="118">
        <f t="shared" si="22"/>
        <v>3.9</v>
      </c>
      <c r="EN197" s="118">
        <f t="shared" si="23"/>
        <v>2.3</v>
      </c>
      <c r="EO197" s="119">
        <f t="shared" si="24"/>
        <v>6.2</v>
      </c>
      <c r="EP197" s="115">
        <f>1+((EO197-MIN(market_ratings_sums))*(4)/(MAX(market_ratings_sums) - MIN(market_ratings_sums)))</f>
        <v>3.456140351</v>
      </c>
      <c r="EQ197" s="116" t="str">
        <f t="shared" si="25"/>
        <v>No</v>
      </c>
      <c r="ER197" s="112"/>
      <c r="ES197" s="123">
        <f>1+((DX197-MIN(industry_experiences))*(4)/(MAX(industry_experiences) - MIN(industry_experiences)))</f>
        <v>1.825396825</v>
      </c>
      <c r="ET197" s="123">
        <f>1+((DY197-MIN(previous_startups))*(4)/(MAX(previous_startups) - MIN(previous_startups)))</f>
        <v>5</v>
      </c>
      <c r="EU197" s="123">
        <f>1+((DZ197-MIN(exits))*(4)/(MAX(exits) - MIN(exits)))</f>
        <v>1</v>
      </c>
      <c r="EV197" s="119">
        <f t="shared" si="26"/>
        <v>7.825396825</v>
      </c>
      <c r="EW197" s="124">
        <f>1+((EV197-MIN(team_ratings_sums))*(4)/(MAX(team_ratings_sums) - MIN(team_ratings_sums)))</f>
        <v>3.643478261</v>
      </c>
      <c r="EX197" s="116" t="str">
        <f t="shared" si="27"/>
        <v>20 - 34</v>
      </c>
      <c r="EY197" s="125">
        <f t="shared" si="28"/>
        <v>0.2054794521</v>
      </c>
      <c r="EZ197" s="116">
        <f t="shared" si="29"/>
        <v>9</v>
      </c>
      <c r="FA197" s="125">
        <f t="shared" si="30"/>
        <v>0</v>
      </c>
      <c r="FB197" s="116">
        <f t="shared" si="31"/>
        <v>10</v>
      </c>
      <c r="FC197" s="125">
        <f t="shared" si="32"/>
        <v>0.02739726027</v>
      </c>
      <c r="FD197" s="116" t="str">
        <f t="shared" si="33"/>
        <v>Yes</v>
      </c>
      <c r="FE197" s="125">
        <f t="shared" si="34"/>
        <v>0.2465753425</v>
      </c>
      <c r="FF197" s="116" t="str">
        <f t="shared" ref="FF197:FH197" si="454">BJ197</f>
        <v>Yes</v>
      </c>
      <c r="FG197" s="116" t="str">
        <f t="shared" si="454"/>
        <v>Yes</v>
      </c>
      <c r="FH197" s="116" t="str">
        <f t="shared" si="454"/>
        <v>No</v>
      </c>
      <c r="FI197" s="112"/>
      <c r="FJ197" s="116" t="str">
        <f t="shared" si="36"/>
        <v>Transactional</v>
      </c>
      <c r="FK197" s="125">
        <f t="shared" si="37"/>
        <v>0.602739726</v>
      </c>
      <c r="FL197" s="116" t="str">
        <f t="shared" si="38"/>
        <v>B2B/B2C</v>
      </c>
      <c r="FM197" s="125">
        <f t="shared" si="39"/>
        <v>0.3287671233</v>
      </c>
      <c r="FN197" s="116" t="str">
        <f t="shared" si="40"/>
        <v>Low</v>
      </c>
      <c r="FO197" s="125">
        <f t="shared" si="41"/>
        <v>0.4383561644</v>
      </c>
      <c r="FP197" s="116" t="str">
        <f t="shared" si="42"/>
        <v>Low</v>
      </c>
      <c r="FQ197" s="125">
        <f t="shared" si="43"/>
        <v>0.3561643836</v>
      </c>
      <c r="FR197" s="112"/>
      <c r="FS197" s="123">
        <f t="shared" si="44"/>
        <v>1</v>
      </c>
      <c r="FT197" s="123">
        <f t="shared" si="45"/>
        <v>1</v>
      </c>
      <c r="FU197" s="123">
        <f t="shared" si="46"/>
        <v>1</v>
      </c>
      <c r="FV197" s="123">
        <f t="shared" si="47"/>
        <v>4.1</v>
      </c>
      <c r="FW197" s="119">
        <f t="shared" si="48"/>
        <v>7.1</v>
      </c>
      <c r="FX197" s="115">
        <f>1+((FW197-MIN(performance_ratings_sums))*(4)/(MAX(performance_ratings_sums) - MIN(performance_ratings_sums)))</f>
        <v>1.14953271</v>
      </c>
      <c r="FY197" s="116" t="str">
        <f t="shared" si="49"/>
        <v>Pre-Product</v>
      </c>
      <c r="FZ197" s="126">
        <f t="shared" si="50"/>
        <v>0.2328767123</v>
      </c>
      <c r="GA197" s="112"/>
      <c r="GB197" s="127">
        <f t="shared" si="51"/>
        <v>1</v>
      </c>
      <c r="GC197" s="116" t="str">
        <f t="shared" si="52"/>
        <v>Yes</v>
      </c>
      <c r="GD197" s="126">
        <f t="shared" si="53"/>
        <v>0.2328767123</v>
      </c>
      <c r="GE197" s="126" t="str">
        <f t="shared" si="54"/>
        <v/>
      </c>
      <c r="GF197" s="126">
        <f t="shared" si="55"/>
        <v>0</v>
      </c>
      <c r="GG197" s="126" t="str">
        <f t="shared" si="56"/>
        <v/>
      </c>
      <c r="GH197" s="126">
        <f t="shared" si="57"/>
        <v>0</v>
      </c>
      <c r="GI197" s="112"/>
      <c r="GJ197" s="116"/>
      <c r="GK197" s="119">
        <f t="shared" si="58"/>
        <v>13.64915132</v>
      </c>
      <c r="GL197" s="128">
        <f>1+((GK197-MIN(ratings_sums))*(4)/(MAX(ratings_sums) - MIN(ratings_sums)))</f>
        <v>2.980701348</v>
      </c>
    </row>
    <row r="198" ht="15.75" customHeight="1">
      <c r="A198" s="161" t="s">
        <v>1128</v>
      </c>
      <c r="B198" s="15">
        <v>1794562.0</v>
      </c>
      <c r="C198" s="162" t="s">
        <v>1382</v>
      </c>
      <c r="D198" s="209">
        <v>43788.467361111114</v>
      </c>
      <c r="E198" s="15" t="s">
        <v>230</v>
      </c>
      <c r="F198" s="164" t="s">
        <v>1383</v>
      </c>
      <c r="G198" s="164" t="s">
        <v>1384</v>
      </c>
      <c r="H198" s="210">
        <v>43889.0</v>
      </c>
      <c r="I198" s="162" t="s">
        <v>1385</v>
      </c>
      <c r="J198" s="162"/>
      <c r="K198" s="15" t="s">
        <v>432</v>
      </c>
      <c r="L198" s="15" t="s">
        <v>154</v>
      </c>
      <c r="M198" s="15" t="s">
        <v>31</v>
      </c>
      <c r="N198" s="15" t="s">
        <v>82</v>
      </c>
      <c r="O198" s="15" t="s">
        <v>35</v>
      </c>
      <c r="Q198" s="15" t="s">
        <v>121</v>
      </c>
      <c r="R198" s="166"/>
      <c r="S198" s="120"/>
      <c r="T198" s="69">
        <v>3900000.0</v>
      </c>
      <c r="U198" s="69"/>
      <c r="V198" s="132"/>
      <c r="W198" s="96" t="str">
        <f t="shared" si="125"/>
        <v/>
      </c>
      <c r="X198" s="98">
        <f t="shared" si="126"/>
        <v>3900000</v>
      </c>
      <c r="Y198" s="99" t="str">
        <f t="shared" si="127"/>
        <v>$2M - $4M</v>
      </c>
      <c r="Z198" s="15" t="s">
        <v>36</v>
      </c>
      <c r="AA198" s="15" t="s">
        <v>87</v>
      </c>
      <c r="AB198" s="15" t="s">
        <v>88</v>
      </c>
      <c r="AC198" s="15" t="s">
        <v>493</v>
      </c>
      <c r="AD198" s="15" t="s">
        <v>39</v>
      </c>
      <c r="AE198" s="15" t="s">
        <v>89</v>
      </c>
      <c r="AF198" s="15" t="s">
        <v>469</v>
      </c>
      <c r="AG198" s="69">
        <v>1.9E11</v>
      </c>
      <c r="AH198" s="97" t="str">
        <f t="shared" si="128"/>
        <v>$100B-$250B</v>
      </c>
      <c r="AI198" s="69">
        <v>7.6E10</v>
      </c>
      <c r="AJ198" s="97" t="str">
        <f t="shared" si="129"/>
        <v>$50B-$100B</v>
      </c>
      <c r="AK198" s="167">
        <v>0.07</v>
      </c>
      <c r="AL198" s="88" t="str">
        <f t="shared" si="130"/>
        <v>0%-10%</v>
      </c>
      <c r="AM198" s="32">
        <v>0.0</v>
      </c>
      <c r="AN198" s="15" t="s">
        <v>39</v>
      </c>
      <c r="AO198" s="15" t="s">
        <v>39</v>
      </c>
      <c r="AP198" s="15" t="s">
        <v>90</v>
      </c>
      <c r="AQ198" s="168"/>
      <c r="AR198" s="168"/>
      <c r="AS198" s="15" t="s">
        <v>469</v>
      </c>
      <c r="AT198" s="15" t="s">
        <v>469</v>
      </c>
      <c r="AU198" s="15" t="s">
        <v>493</v>
      </c>
      <c r="AV198" s="15" t="s">
        <v>493</v>
      </c>
      <c r="AW198" s="69">
        <v>17130.0</v>
      </c>
      <c r="AX198" s="96" t="str">
        <f t="shared" si="131"/>
        <v>$10K - $50K</v>
      </c>
      <c r="AY198" s="69">
        <v>1627.0</v>
      </c>
      <c r="AZ198" s="69">
        <v>63078.0</v>
      </c>
      <c r="BA198" s="103" t="str">
        <f t="shared" si="132"/>
        <v>$50K - $100K</v>
      </c>
      <c r="BB198" s="103">
        <f t="shared" si="133"/>
        <v>0.02579346206</v>
      </c>
      <c r="BC198" s="103" t="str">
        <f t="shared" si="134"/>
        <v>&lt; 10%</v>
      </c>
      <c r="BD198" s="15" t="s">
        <v>107</v>
      </c>
      <c r="BF198" s="15" t="s">
        <v>469</v>
      </c>
      <c r="BG198" s="15">
        <v>0.0</v>
      </c>
      <c r="BH198" s="15">
        <v>2.0</v>
      </c>
      <c r="BI198" s="15" t="s">
        <v>469</v>
      </c>
      <c r="BJ198" s="15" t="s">
        <v>469</v>
      </c>
      <c r="BK198" s="15" t="s">
        <v>493</v>
      </c>
      <c r="BL198" s="15" t="s">
        <v>469</v>
      </c>
      <c r="BM198" s="15">
        <v>1.0</v>
      </c>
      <c r="BN198" s="15">
        <v>10.0</v>
      </c>
      <c r="BO198" s="15">
        <v>0.0</v>
      </c>
      <c r="BP198" s="15">
        <v>0.0</v>
      </c>
      <c r="BQ198" s="108"/>
      <c r="BR198" s="15">
        <v>0.0</v>
      </c>
      <c r="BS198" s="15">
        <v>1.0</v>
      </c>
      <c r="BT198" s="15">
        <v>0.0</v>
      </c>
      <c r="BU198" s="15">
        <v>27.0</v>
      </c>
      <c r="BV198" s="15" t="s">
        <v>469</v>
      </c>
      <c r="BW198" s="108"/>
      <c r="BX198" s="15">
        <v>0.0</v>
      </c>
      <c r="BY198" s="15">
        <v>0.0</v>
      </c>
      <c r="BZ198" s="15">
        <v>0.0</v>
      </c>
      <c r="CA198" s="15">
        <v>27.0</v>
      </c>
      <c r="CB198" s="15" t="s">
        <v>469</v>
      </c>
      <c r="CC198" s="108"/>
      <c r="CI198" s="108"/>
      <c r="CO198" s="108"/>
      <c r="CU198" s="108"/>
      <c r="DA198" s="108"/>
      <c r="DG198" s="108"/>
      <c r="DM198" s="108"/>
      <c r="DS198" s="108"/>
      <c r="DT198" s="108"/>
      <c r="DU198" s="108"/>
      <c r="DW198" s="109"/>
      <c r="DX198" s="110">
        <f t="shared" si="13"/>
        <v>0</v>
      </c>
      <c r="DY198" s="111">
        <f t="shared" ref="DY198:DZ198" si="455">sum(BS198,BY198,CE198,CK198,CQ198,CW198,DC198,DI198,DO198)</f>
        <v>1</v>
      </c>
      <c r="DZ198" s="111">
        <f t="shared" si="455"/>
        <v>0</v>
      </c>
      <c r="EA198" s="110">
        <f t="shared" si="15"/>
        <v>27</v>
      </c>
      <c r="EB198" s="99" t="str">
        <f t="shared" si="16"/>
        <v>20 - 34</v>
      </c>
      <c r="EC198" s="112"/>
      <c r="ED198" s="113">
        <f t="shared" si="17"/>
        <v>4.6</v>
      </c>
      <c r="EE198" s="114" t="str">
        <f>IF(V198 &lt;&gt; "", 1+((V198-MIN(discount_rates))*(4)/(MAX(discount_rates) - MIN(discount_rates))), "")</f>
        <v/>
      </c>
      <c r="EF198" s="114" t="str">
        <f>IF(Q198="Debt", (1+((S198-MIN(interest_rates))*(4)/(MAX(interest_rates) - MIN(interest_rates)))), "")</f>
        <v/>
      </c>
      <c r="EG198" s="114" t="str">
        <f>IF(OR(Q198="Revenue Share", Q198="Profit Share"), (1+((R198-MIN(return_mutiples))*(4)/(MAX(return_mutiples) - MIN(return_mutiples)))), "")</f>
        <v/>
      </c>
      <c r="EH198" s="115">
        <f t="shared" si="18"/>
        <v>4.6</v>
      </c>
      <c r="EI198" s="116" t="str">
        <f t="shared" si="19"/>
        <v>Equity - Common</v>
      </c>
      <c r="EJ198" s="117">
        <f t="shared" si="20"/>
        <v>0.3287671233</v>
      </c>
      <c r="EK198" s="116" t="str">
        <f t="shared" si="21"/>
        <v>Early</v>
      </c>
      <c r="EL198" s="112"/>
      <c r="EM198" s="118">
        <f t="shared" si="22"/>
        <v>3.9</v>
      </c>
      <c r="EN198" s="118">
        <f t="shared" si="23"/>
        <v>1.7</v>
      </c>
      <c r="EO198" s="119">
        <f t="shared" si="24"/>
        <v>5.6</v>
      </c>
      <c r="EP198" s="115">
        <f>1+((EO198-MIN(market_ratings_sums))*(4)/(MAX(market_ratings_sums) - MIN(market_ratings_sums)))</f>
        <v>3.035087719</v>
      </c>
      <c r="EQ198" s="116" t="str">
        <f t="shared" si="25"/>
        <v>No</v>
      </c>
      <c r="ER198" s="112"/>
      <c r="ES198" s="123">
        <f>1+((DX198-MIN(industry_experiences))*(4)/(MAX(industry_experiences) - MIN(industry_experiences)))</f>
        <v>1</v>
      </c>
      <c r="ET198" s="123">
        <f>1+((DY198-MIN(previous_startups))*(4)/(MAX(previous_startups) - MIN(previous_startups)))</f>
        <v>1.444444444</v>
      </c>
      <c r="EU198" s="123">
        <f>1+((DZ198-MIN(exits))*(4)/(MAX(exits) - MIN(exits)))</f>
        <v>1</v>
      </c>
      <c r="EV198" s="119">
        <f t="shared" si="26"/>
        <v>3.444444444</v>
      </c>
      <c r="EW198" s="124">
        <f>1+((EV198-MIN(team_ratings_sums))*(4)/(MAX(team_ratings_sums) - MIN(team_ratings_sums)))</f>
        <v>1.243478261</v>
      </c>
      <c r="EX198" s="116" t="str">
        <f t="shared" si="27"/>
        <v>20 - 34</v>
      </c>
      <c r="EY198" s="125">
        <f t="shared" si="28"/>
        <v>0.2054794521</v>
      </c>
      <c r="EZ198" s="116">
        <f t="shared" si="29"/>
        <v>2</v>
      </c>
      <c r="FA198" s="125">
        <f t="shared" si="30"/>
        <v>0.4520547945</v>
      </c>
      <c r="FB198" s="116">
        <f t="shared" si="31"/>
        <v>10</v>
      </c>
      <c r="FC198" s="125">
        <f t="shared" si="32"/>
        <v>0.02739726027</v>
      </c>
      <c r="FD198" s="116" t="str">
        <f t="shared" si="33"/>
        <v>No</v>
      </c>
      <c r="FE198" s="125">
        <f t="shared" si="34"/>
        <v>0.7534246575</v>
      </c>
      <c r="FF198" s="116" t="str">
        <f t="shared" ref="FF198:FH198" si="456">BJ198</f>
        <v>No</v>
      </c>
      <c r="FG198" s="116" t="str">
        <f t="shared" si="456"/>
        <v>Yes</v>
      </c>
      <c r="FH198" s="116" t="str">
        <f t="shared" si="456"/>
        <v>No</v>
      </c>
      <c r="FI198" s="112"/>
      <c r="FJ198" s="116" t="str">
        <f t="shared" si="36"/>
        <v>Transactional</v>
      </c>
      <c r="FK198" s="125">
        <f t="shared" si="37"/>
        <v>0.602739726</v>
      </c>
      <c r="FL198" s="116" t="str">
        <f t="shared" si="38"/>
        <v>B2C</v>
      </c>
      <c r="FM198" s="125">
        <f t="shared" si="39"/>
        <v>0.397260274</v>
      </c>
      <c r="FN198" s="116" t="str">
        <f t="shared" si="40"/>
        <v>High</v>
      </c>
      <c r="FO198" s="125">
        <f t="shared" si="41"/>
        <v>0.5616438356</v>
      </c>
      <c r="FP198" s="116" t="str">
        <f t="shared" si="42"/>
        <v>Low</v>
      </c>
      <c r="FQ198" s="125">
        <f t="shared" si="43"/>
        <v>0.3561643836</v>
      </c>
      <c r="FR198" s="112"/>
      <c r="FS198" s="123">
        <f t="shared" si="44"/>
        <v>5</v>
      </c>
      <c r="FT198" s="123">
        <f t="shared" si="45"/>
        <v>1.4</v>
      </c>
      <c r="FU198" s="123">
        <f t="shared" si="46"/>
        <v>5</v>
      </c>
      <c r="FV198" s="123">
        <f t="shared" si="47"/>
        <v>4.1</v>
      </c>
      <c r="FW198" s="119">
        <f t="shared" si="48"/>
        <v>15.5</v>
      </c>
      <c r="FX198" s="115">
        <f>1+((FW198-MIN(performance_ratings_sums))*(4)/(MAX(performance_ratings_sums) - MIN(performance_ratings_sums)))</f>
        <v>4.289719626</v>
      </c>
      <c r="FY198" s="116" t="str">
        <f t="shared" si="49"/>
        <v>Pre-Profit</v>
      </c>
      <c r="FZ198" s="126">
        <f t="shared" si="50"/>
        <v>0.4931506849</v>
      </c>
      <c r="GA198" s="112"/>
      <c r="GB198" s="127">
        <f t="shared" si="51"/>
        <v>5</v>
      </c>
      <c r="GC198" s="116" t="str">
        <f t="shared" si="52"/>
        <v>No</v>
      </c>
      <c r="GD198" s="126">
        <f t="shared" si="53"/>
        <v>0.7671232877</v>
      </c>
      <c r="GE198" s="126" t="str">
        <f t="shared" si="54"/>
        <v/>
      </c>
      <c r="GF198" s="126">
        <f t="shared" si="55"/>
        <v>0</v>
      </c>
      <c r="GG198" s="126" t="str">
        <f t="shared" si="56"/>
        <v/>
      </c>
      <c r="GH198" s="126">
        <f t="shared" si="57"/>
        <v>0</v>
      </c>
      <c r="GI198" s="112"/>
      <c r="GJ198" s="116"/>
      <c r="GK198" s="119">
        <f t="shared" si="58"/>
        <v>18.16828561</v>
      </c>
      <c r="GL198" s="128">
        <f>1+((GK198-MIN(ratings_sums))*(4)/(MAX(ratings_sums) - MIN(ratings_sums)))</f>
        <v>4.367352365</v>
      </c>
    </row>
    <row r="199" ht="15.75" customHeight="1">
      <c r="A199" s="161" t="s">
        <v>1128</v>
      </c>
      <c r="B199" s="15">
        <v>1787976.0</v>
      </c>
      <c r="C199" s="162" t="s">
        <v>1386</v>
      </c>
      <c r="D199" s="209">
        <v>43788.493055555555</v>
      </c>
      <c r="E199" s="15" t="s">
        <v>357</v>
      </c>
      <c r="F199" s="164" t="s">
        <v>1387</v>
      </c>
      <c r="G199" s="164" t="s">
        <v>1388</v>
      </c>
      <c r="H199" s="173">
        <v>43787.0</v>
      </c>
      <c r="I199" s="162" t="s">
        <v>1389</v>
      </c>
      <c r="J199" s="162" t="s">
        <v>1386</v>
      </c>
      <c r="K199" s="15" t="s">
        <v>448</v>
      </c>
      <c r="L199" s="15" t="s">
        <v>390</v>
      </c>
      <c r="M199" s="15" t="s">
        <v>81</v>
      </c>
      <c r="N199" s="15" t="s">
        <v>101</v>
      </c>
      <c r="O199" s="15" t="s">
        <v>35</v>
      </c>
      <c r="P199" s="15" t="s">
        <v>104</v>
      </c>
      <c r="Q199" s="15" t="s">
        <v>135</v>
      </c>
      <c r="R199" s="166"/>
      <c r="S199" s="120"/>
      <c r="T199" s="69">
        <v>9985000.0</v>
      </c>
      <c r="U199" s="69"/>
      <c r="V199" s="132"/>
      <c r="W199" s="96" t="str">
        <f t="shared" si="125"/>
        <v/>
      </c>
      <c r="X199" s="98">
        <f t="shared" si="126"/>
        <v>9985000</v>
      </c>
      <c r="Y199" s="99" t="str">
        <f t="shared" si="127"/>
        <v>$8M - $10M</v>
      </c>
      <c r="Z199" s="15" t="s">
        <v>36</v>
      </c>
      <c r="AA199" s="15" t="s">
        <v>123</v>
      </c>
      <c r="AB199" s="15" t="s">
        <v>38</v>
      </c>
      <c r="AC199" s="15" t="s">
        <v>493</v>
      </c>
      <c r="AD199" s="15" t="s">
        <v>89</v>
      </c>
      <c r="AE199" s="15" t="s">
        <v>89</v>
      </c>
      <c r="AF199" s="15" t="s">
        <v>469</v>
      </c>
      <c r="AG199" s="69">
        <v>2.29E9</v>
      </c>
      <c r="AH199" s="97" t="str">
        <f t="shared" si="128"/>
        <v>$1B-$5B</v>
      </c>
      <c r="AI199" s="69">
        <v>1.5E9</v>
      </c>
      <c r="AJ199" s="97" t="str">
        <f t="shared" si="129"/>
        <v>$1B-$5B</v>
      </c>
      <c r="AK199" s="167">
        <v>0.04</v>
      </c>
      <c r="AL199" s="88" t="str">
        <f t="shared" si="130"/>
        <v>0%-10%</v>
      </c>
      <c r="AM199" s="15">
        <v>281.0</v>
      </c>
      <c r="AN199" s="15" t="s">
        <v>89</v>
      </c>
      <c r="AO199" s="15" t="s">
        <v>89</v>
      </c>
      <c r="AP199" s="15" t="s">
        <v>40</v>
      </c>
      <c r="AQ199" s="168"/>
      <c r="AR199" s="168"/>
      <c r="AS199" s="15" t="s">
        <v>469</v>
      </c>
      <c r="AT199" s="15" t="s">
        <v>469</v>
      </c>
      <c r="AU199" s="15" t="s">
        <v>493</v>
      </c>
      <c r="AV199" s="15" t="s">
        <v>493</v>
      </c>
      <c r="AW199" s="69">
        <v>1057318.0</v>
      </c>
      <c r="AX199" s="96" t="str">
        <f t="shared" si="131"/>
        <v>$1M - $2M</v>
      </c>
      <c r="AY199" s="69">
        <v>53254.0</v>
      </c>
      <c r="AZ199" s="69">
        <v>0.0</v>
      </c>
      <c r="BA199" s="103" t="str">
        <f t="shared" si="132"/>
        <v>&lt; $10K</v>
      </c>
      <c r="BB199" s="103">
        <f t="shared" si="133"/>
        <v>1</v>
      </c>
      <c r="BC199" s="103" t="str">
        <f t="shared" si="134"/>
        <v>90% - 100%</v>
      </c>
      <c r="BD199" s="15" t="s">
        <v>107</v>
      </c>
      <c r="BF199" s="15" t="s">
        <v>469</v>
      </c>
      <c r="BG199" s="15">
        <v>0.0</v>
      </c>
      <c r="BH199" s="15">
        <v>1.0</v>
      </c>
      <c r="BI199" s="15" t="s">
        <v>493</v>
      </c>
      <c r="BJ199" s="15" t="s">
        <v>469</v>
      </c>
      <c r="BK199" s="15" t="s">
        <v>469</v>
      </c>
      <c r="BL199" s="15" t="s">
        <v>469</v>
      </c>
      <c r="BM199" s="15">
        <v>0.0</v>
      </c>
      <c r="BN199" s="15">
        <v>10.0</v>
      </c>
      <c r="BO199" s="15">
        <v>1.0</v>
      </c>
      <c r="BP199" s="15">
        <v>0.0</v>
      </c>
      <c r="BQ199" s="108"/>
      <c r="BR199" s="15">
        <v>29.0</v>
      </c>
      <c r="BS199" s="15">
        <v>0.0</v>
      </c>
      <c r="BT199" s="15">
        <v>0.0</v>
      </c>
      <c r="BU199" s="15">
        <v>42.0</v>
      </c>
      <c r="BV199" s="15" t="s">
        <v>469</v>
      </c>
      <c r="BW199" s="108"/>
      <c r="CC199" s="108"/>
      <c r="CI199" s="108"/>
      <c r="CO199" s="108"/>
      <c r="CU199" s="108"/>
      <c r="DA199" s="108"/>
      <c r="DG199" s="108"/>
      <c r="DM199" s="108"/>
      <c r="DS199" s="108"/>
      <c r="DT199" s="108"/>
      <c r="DU199" s="108"/>
      <c r="DW199" s="109"/>
      <c r="DX199" s="110">
        <f t="shared" si="13"/>
        <v>29</v>
      </c>
      <c r="DY199" s="111">
        <f t="shared" ref="DY199:DZ199" si="457">sum(BS199,BY199,CE199,CK199,CQ199,CW199,DC199,DI199,DO199)</f>
        <v>0</v>
      </c>
      <c r="DZ199" s="111">
        <f t="shared" si="457"/>
        <v>0</v>
      </c>
      <c r="EA199" s="110">
        <f t="shared" si="15"/>
        <v>42</v>
      </c>
      <c r="EB199" s="99" t="str">
        <f t="shared" si="16"/>
        <v>35 - 54</v>
      </c>
      <c r="EC199" s="112"/>
      <c r="ED199" s="113">
        <f t="shared" si="17"/>
        <v>4</v>
      </c>
      <c r="EE199" s="114" t="str">
        <f>IF(V199 &lt;&gt; "", 1+((V199-MIN(discount_rates))*(4)/(MAX(discount_rates) - MIN(discount_rates))), "")</f>
        <v/>
      </c>
      <c r="EF199" s="114" t="str">
        <f>IF(Q199="Debt", (1+((S199-MIN(interest_rates))*(4)/(MAX(interest_rates) - MIN(interest_rates)))), "")</f>
        <v/>
      </c>
      <c r="EG199" s="114" t="str">
        <f>IF(OR(Q199="Revenue Share", Q199="Profit Share"), (1+((R199-MIN(return_mutiples))*(4)/(MAX(return_mutiples) - MIN(return_mutiples)))), "")</f>
        <v/>
      </c>
      <c r="EH199" s="115">
        <f t="shared" si="18"/>
        <v>4</v>
      </c>
      <c r="EI199" s="116" t="str">
        <f t="shared" si="19"/>
        <v>Equity - Preferred</v>
      </c>
      <c r="EJ199" s="117">
        <f t="shared" si="20"/>
        <v>0.06849315068</v>
      </c>
      <c r="EK199" s="116" t="str">
        <f t="shared" si="21"/>
        <v>Growth</v>
      </c>
      <c r="EL199" s="112"/>
      <c r="EM199" s="118">
        <f t="shared" si="22"/>
        <v>2.7</v>
      </c>
      <c r="EN199" s="118">
        <f t="shared" si="23"/>
        <v>1.7</v>
      </c>
      <c r="EO199" s="119">
        <f t="shared" si="24"/>
        <v>4.4</v>
      </c>
      <c r="EP199" s="115">
        <f>1+((EO199-MIN(market_ratings_sums))*(4)/(MAX(market_ratings_sums) - MIN(market_ratings_sums)))</f>
        <v>2.192982456</v>
      </c>
      <c r="EQ199" s="116" t="str">
        <f t="shared" si="25"/>
        <v>No</v>
      </c>
      <c r="ER199" s="112"/>
      <c r="ES199" s="123">
        <f>1+((DX199-MIN(industry_experiences))*(4)/(MAX(industry_experiences) - MIN(industry_experiences)))</f>
        <v>3.761904762</v>
      </c>
      <c r="ET199" s="123">
        <f>1+((DY199-MIN(previous_startups))*(4)/(MAX(previous_startups) - MIN(previous_startups)))</f>
        <v>1</v>
      </c>
      <c r="EU199" s="123">
        <f>1+((DZ199-MIN(exits))*(4)/(MAX(exits) - MIN(exits)))</f>
        <v>1</v>
      </c>
      <c r="EV199" s="119">
        <f t="shared" si="26"/>
        <v>5.761904762</v>
      </c>
      <c r="EW199" s="124">
        <f>1+((EV199-MIN(team_ratings_sums))*(4)/(MAX(team_ratings_sums) - MIN(team_ratings_sums)))</f>
        <v>2.513043478</v>
      </c>
      <c r="EX199" s="116" t="str">
        <f t="shared" si="27"/>
        <v>35 - 54</v>
      </c>
      <c r="EY199" s="125">
        <f t="shared" si="28"/>
        <v>0.6849315068</v>
      </c>
      <c r="EZ199" s="116">
        <f t="shared" si="29"/>
        <v>1</v>
      </c>
      <c r="FA199" s="125">
        <f t="shared" si="30"/>
        <v>0.4383561644</v>
      </c>
      <c r="FB199" s="116">
        <f t="shared" si="31"/>
        <v>10</v>
      </c>
      <c r="FC199" s="125">
        <f t="shared" si="32"/>
        <v>0.02739726027</v>
      </c>
      <c r="FD199" s="116" t="str">
        <f t="shared" si="33"/>
        <v>Yes</v>
      </c>
      <c r="FE199" s="125">
        <f t="shared" si="34"/>
        <v>0.2465753425</v>
      </c>
      <c r="FF199" s="116" t="str">
        <f t="shared" ref="FF199:FH199" si="458">BJ199</f>
        <v>No</v>
      </c>
      <c r="FG199" s="116" t="str">
        <f t="shared" si="458"/>
        <v>No</v>
      </c>
      <c r="FH199" s="116" t="str">
        <f t="shared" si="458"/>
        <v>No</v>
      </c>
      <c r="FI199" s="112"/>
      <c r="FJ199" s="116" t="str">
        <f t="shared" si="36"/>
        <v>Transactional</v>
      </c>
      <c r="FK199" s="125">
        <f t="shared" si="37"/>
        <v>0.602739726</v>
      </c>
      <c r="FL199" s="116" t="str">
        <f t="shared" si="38"/>
        <v>B2B/B2C</v>
      </c>
      <c r="FM199" s="125">
        <f t="shared" si="39"/>
        <v>0.3287671233</v>
      </c>
      <c r="FN199" s="116" t="str">
        <f t="shared" si="40"/>
        <v>Low</v>
      </c>
      <c r="FO199" s="125">
        <f t="shared" si="41"/>
        <v>0.4383561644</v>
      </c>
      <c r="FP199" s="116" t="str">
        <f t="shared" si="42"/>
        <v>Low</v>
      </c>
      <c r="FQ199" s="125">
        <f t="shared" si="43"/>
        <v>0.3561643836</v>
      </c>
      <c r="FR199" s="112"/>
      <c r="FS199" s="123">
        <f t="shared" si="44"/>
        <v>5</v>
      </c>
      <c r="FT199" s="123">
        <f t="shared" si="45"/>
        <v>3.2</v>
      </c>
      <c r="FU199" s="123">
        <f t="shared" si="46"/>
        <v>1</v>
      </c>
      <c r="FV199" s="123">
        <f t="shared" si="47"/>
        <v>5</v>
      </c>
      <c r="FW199" s="119">
        <f t="shared" si="48"/>
        <v>14.2</v>
      </c>
      <c r="FX199" s="115">
        <f>1+((FW199-MIN(performance_ratings_sums))*(4)/(MAX(performance_ratings_sums) - MIN(performance_ratings_sums)))</f>
        <v>3.803738318</v>
      </c>
      <c r="FY199" s="116" t="str">
        <f t="shared" si="49"/>
        <v>Pre-Profit</v>
      </c>
      <c r="FZ199" s="126">
        <f t="shared" si="50"/>
        <v>0.4931506849</v>
      </c>
      <c r="GA199" s="112"/>
      <c r="GB199" s="127">
        <f t="shared" si="51"/>
        <v>1</v>
      </c>
      <c r="GC199" s="116" t="str">
        <f t="shared" si="52"/>
        <v>No</v>
      </c>
      <c r="GD199" s="126">
        <f t="shared" si="53"/>
        <v>0.7671232877</v>
      </c>
      <c r="GE199" s="126" t="str">
        <f t="shared" si="54"/>
        <v/>
      </c>
      <c r="GF199" s="126">
        <f t="shared" si="55"/>
        <v>0</v>
      </c>
      <c r="GG199" s="126" t="str">
        <f t="shared" si="56"/>
        <v/>
      </c>
      <c r="GH199" s="126">
        <f t="shared" si="57"/>
        <v>0</v>
      </c>
      <c r="GI199" s="112"/>
      <c r="GJ199" s="116"/>
      <c r="GK199" s="119">
        <f t="shared" si="58"/>
        <v>13.50976425</v>
      </c>
      <c r="GL199" s="128">
        <f>1+((GK199-MIN(ratings_sums))*(4)/(MAX(ratings_sums) - MIN(ratings_sums)))</f>
        <v>2.937931824</v>
      </c>
    </row>
    <row r="200" ht="15.75" customHeight="1">
      <c r="A200" s="161" t="s">
        <v>1128</v>
      </c>
      <c r="B200" s="15">
        <v>1791378.0</v>
      </c>
      <c r="C200" s="162" t="s">
        <v>1390</v>
      </c>
      <c r="D200" s="209">
        <v>43789.42569444444</v>
      </c>
      <c r="E200" s="15" t="s">
        <v>392</v>
      </c>
      <c r="F200" s="164" t="s">
        <v>1391</v>
      </c>
      <c r="G200" s="164" t="s">
        <v>1392</v>
      </c>
      <c r="H200" s="173">
        <v>43763.0</v>
      </c>
      <c r="I200" s="162" t="s">
        <v>1393</v>
      </c>
      <c r="J200" s="162" t="s">
        <v>1390</v>
      </c>
      <c r="K200" s="15" t="s">
        <v>438</v>
      </c>
      <c r="L200" s="15" t="s">
        <v>133</v>
      </c>
      <c r="M200" s="15" t="s">
        <v>31</v>
      </c>
      <c r="N200" s="15" t="s">
        <v>82</v>
      </c>
      <c r="O200" s="15" t="s">
        <v>35</v>
      </c>
      <c r="Q200" s="15" t="s">
        <v>195</v>
      </c>
      <c r="R200" s="166"/>
      <c r="S200" s="120"/>
      <c r="T200" s="69"/>
      <c r="U200" s="121">
        <v>6750000.0</v>
      </c>
      <c r="V200" s="132">
        <v>0.0</v>
      </c>
      <c r="W200" s="96">
        <f t="shared" si="125"/>
        <v>6750000</v>
      </c>
      <c r="X200" s="98">
        <f t="shared" si="126"/>
        <v>6750000</v>
      </c>
      <c r="Y200" s="99" t="str">
        <f t="shared" si="127"/>
        <v>$6M - $8M</v>
      </c>
      <c r="Z200" s="15" t="s">
        <v>36</v>
      </c>
      <c r="AA200" s="15" t="s">
        <v>123</v>
      </c>
      <c r="AB200" s="15" t="s">
        <v>88</v>
      </c>
      <c r="AC200" s="15" t="s">
        <v>493</v>
      </c>
      <c r="AD200" s="15" t="s">
        <v>39</v>
      </c>
      <c r="AE200" s="15" t="s">
        <v>89</v>
      </c>
      <c r="AF200" s="15" t="s">
        <v>469</v>
      </c>
      <c r="AG200" s="69">
        <v>1.3383E12</v>
      </c>
      <c r="AH200" s="97" t="str">
        <f t="shared" si="128"/>
        <v>&gt; $1T</v>
      </c>
      <c r="AI200" s="69">
        <v>1.3383E12</v>
      </c>
      <c r="AJ200" s="97" t="str">
        <f t="shared" si="129"/>
        <v>&gt; $1T</v>
      </c>
      <c r="AK200" s="167">
        <v>0.1</v>
      </c>
      <c r="AL200" s="88" t="str">
        <f t="shared" si="130"/>
        <v>0%-10%</v>
      </c>
      <c r="AM200" s="15">
        <v>36.0</v>
      </c>
      <c r="AN200" s="15" t="s">
        <v>89</v>
      </c>
      <c r="AO200" s="15" t="s">
        <v>89</v>
      </c>
      <c r="AP200" s="15" t="s">
        <v>40</v>
      </c>
      <c r="AQ200" s="168"/>
      <c r="AR200" s="168"/>
      <c r="AS200" s="15" t="s">
        <v>469</v>
      </c>
      <c r="AT200" s="15" t="s">
        <v>469</v>
      </c>
      <c r="AU200" s="15" t="s">
        <v>493</v>
      </c>
      <c r="AV200" s="15" t="s">
        <v>469</v>
      </c>
      <c r="AW200" s="69">
        <v>0.0</v>
      </c>
      <c r="AX200" s="96" t="str">
        <f t="shared" si="131"/>
        <v>&lt; $10K</v>
      </c>
      <c r="AY200" s="69">
        <v>2934.0</v>
      </c>
      <c r="AZ200" s="69">
        <v>50000.0</v>
      </c>
      <c r="BA200" s="103" t="str">
        <f t="shared" si="132"/>
        <v>$10K - $50K</v>
      </c>
      <c r="BB200" s="103">
        <f t="shared" si="133"/>
        <v>0.05868</v>
      </c>
      <c r="BC200" s="103" t="str">
        <f t="shared" si="134"/>
        <v>&lt; 10%</v>
      </c>
      <c r="BD200" s="15" t="s">
        <v>91</v>
      </c>
      <c r="BF200" s="15" t="s">
        <v>469</v>
      </c>
      <c r="BG200" s="15">
        <v>0.0</v>
      </c>
      <c r="BH200" s="15">
        <v>1.0</v>
      </c>
      <c r="BI200" s="15" t="s">
        <v>469</v>
      </c>
      <c r="BJ200" s="15" t="s">
        <v>493</v>
      </c>
      <c r="BK200" s="15" t="s">
        <v>469</v>
      </c>
      <c r="BL200" s="15" t="s">
        <v>469</v>
      </c>
      <c r="BM200" s="15">
        <v>0.0</v>
      </c>
      <c r="BN200" s="15">
        <v>2.0</v>
      </c>
      <c r="BO200" s="15">
        <v>0.0</v>
      </c>
      <c r="BP200" s="15">
        <v>0.0</v>
      </c>
      <c r="BQ200" s="108"/>
      <c r="BR200" s="15">
        <v>0.0</v>
      </c>
      <c r="BS200" s="15">
        <v>0.0</v>
      </c>
      <c r="BT200" s="15">
        <v>0.0</v>
      </c>
      <c r="BU200" s="15">
        <v>42.0</v>
      </c>
      <c r="BV200" s="15" t="s">
        <v>469</v>
      </c>
      <c r="BW200" s="108"/>
      <c r="CC200" s="108"/>
      <c r="CI200" s="108"/>
      <c r="CO200" s="108"/>
      <c r="CU200" s="108"/>
      <c r="DA200" s="108"/>
      <c r="DG200" s="108"/>
      <c r="DM200" s="108"/>
      <c r="DS200" s="108"/>
      <c r="DT200" s="108"/>
      <c r="DU200" s="108"/>
      <c r="DW200" s="109"/>
      <c r="DX200" s="110">
        <f t="shared" si="13"/>
        <v>0</v>
      </c>
      <c r="DY200" s="111">
        <f t="shared" ref="DY200:DZ200" si="459">sum(BS200,BY200,CE200,CK200,CQ200,CW200,DC200,DI200,DO200)</f>
        <v>0</v>
      </c>
      <c r="DZ200" s="111">
        <f t="shared" si="459"/>
        <v>0</v>
      </c>
      <c r="EA200" s="110">
        <f t="shared" si="15"/>
        <v>42</v>
      </c>
      <c r="EB200" s="99" t="str">
        <f t="shared" si="16"/>
        <v>35 - 54</v>
      </c>
      <c r="EC200" s="112"/>
      <c r="ED200" s="113">
        <f t="shared" si="17"/>
        <v>4.2</v>
      </c>
      <c r="EE200" s="114">
        <f>IF(V200 &lt;&gt; "", 1+((V200-MIN(discount_rates))*(4)/(MAX(discount_rates) - MIN(discount_rates))), "")</f>
        <v>1</v>
      </c>
      <c r="EF200" s="114" t="str">
        <f>IF(Q200="Debt", (1+((S200-MIN(interest_rates))*(4)/(MAX(interest_rates) - MIN(interest_rates)))), "")</f>
        <v/>
      </c>
      <c r="EG200" s="114" t="str">
        <f>IF(OR(Q200="Revenue Share", Q200="Profit Share"), (1+((R200-MIN(return_mutiples))*(4)/(MAX(return_mutiples) - MIN(return_mutiples)))), "")</f>
        <v/>
      </c>
      <c r="EH200" s="115">
        <f t="shared" si="18"/>
        <v>4.2</v>
      </c>
      <c r="EI200" s="116" t="str">
        <f t="shared" si="19"/>
        <v>SAFE</v>
      </c>
      <c r="EJ200" s="117">
        <f t="shared" si="20"/>
        <v>0.3561643836</v>
      </c>
      <c r="EK200" s="116" t="str">
        <f t="shared" si="21"/>
        <v>Early</v>
      </c>
      <c r="EL200" s="112"/>
      <c r="EM200" s="118">
        <f t="shared" si="22"/>
        <v>5</v>
      </c>
      <c r="EN200" s="118">
        <f t="shared" si="23"/>
        <v>1.7</v>
      </c>
      <c r="EO200" s="119">
        <f t="shared" si="24"/>
        <v>6.7</v>
      </c>
      <c r="EP200" s="115">
        <f>1+((EO200-MIN(market_ratings_sums))*(4)/(MAX(market_ratings_sums) - MIN(market_ratings_sums)))</f>
        <v>3.807017544</v>
      </c>
      <c r="EQ200" s="116" t="str">
        <f t="shared" si="25"/>
        <v>No</v>
      </c>
      <c r="ER200" s="112"/>
      <c r="ES200" s="123">
        <f>1+((DX200-MIN(industry_experiences))*(4)/(MAX(industry_experiences) - MIN(industry_experiences)))</f>
        <v>1</v>
      </c>
      <c r="ET200" s="123">
        <f>1+((DY200-MIN(previous_startups))*(4)/(MAX(previous_startups) - MIN(previous_startups)))</f>
        <v>1</v>
      </c>
      <c r="EU200" s="123">
        <f>1+((DZ200-MIN(exits))*(4)/(MAX(exits) - MIN(exits)))</f>
        <v>1</v>
      </c>
      <c r="EV200" s="119">
        <f t="shared" si="26"/>
        <v>3</v>
      </c>
      <c r="EW200" s="124">
        <f>1+((EV200-MIN(team_ratings_sums))*(4)/(MAX(team_ratings_sums) - MIN(team_ratings_sums)))</f>
        <v>1</v>
      </c>
      <c r="EX200" s="116" t="str">
        <f t="shared" si="27"/>
        <v>35 - 54</v>
      </c>
      <c r="EY200" s="125">
        <f t="shared" si="28"/>
        <v>0.6849315068</v>
      </c>
      <c r="EZ200" s="116">
        <f t="shared" si="29"/>
        <v>1</v>
      </c>
      <c r="FA200" s="125">
        <f t="shared" si="30"/>
        <v>0.4383561644</v>
      </c>
      <c r="FB200" s="116">
        <f t="shared" si="31"/>
        <v>2</v>
      </c>
      <c r="FC200" s="125">
        <f t="shared" si="32"/>
        <v>0.1369863014</v>
      </c>
      <c r="FD200" s="116" t="str">
        <f t="shared" si="33"/>
        <v>No</v>
      </c>
      <c r="FE200" s="125">
        <f t="shared" si="34"/>
        <v>0.7534246575</v>
      </c>
      <c r="FF200" s="116" t="str">
        <f t="shared" ref="FF200:FH200" si="460">BJ200</f>
        <v>Yes</v>
      </c>
      <c r="FG200" s="116" t="str">
        <f t="shared" si="460"/>
        <v>No</v>
      </c>
      <c r="FH200" s="116" t="str">
        <f t="shared" si="460"/>
        <v>No</v>
      </c>
      <c r="FI200" s="112"/>
      <c r="FJ200" s="116" t="str">
        <f t="shared" si="36"/>
        <v>Transactional</v>
      </c>
      <c r="FK200" s="125">
        <f t="shared" si="37"/>
        <v>0.602739726</v>
      </c>
      <c r="FL200" s="116" t="str">
        <f t="shared" si="38"/>
        <v>B2B/B2C</v>
      </c>
      <c r="FM200" s="125">
        <f t="shared" si="39"/>
        <v>0.3287671233</v>
      </c>
      <c r="FN200" s="116" t="str">
        <f t="shared" si="40"/>
        <v>High</v>
      </c>
      <c r="FO200" s="125">
        <f t="shared" si="41"/>
        <v>0.5616438356</v>
      </c>
      <c r="FP200" s="116" t="str">
        <f t="shared" si="42"/>
        <v>Low</v>
      </c>
      <c r="FQ200" s="125">
        <f t="shared" si="43"/>
        <v>0.3561643836</v>
      </c>
      <c r="FR200" s="112"/>
      <c r="FS200" s="123">
        <f t="shared" si="44"/>
        <v>3</v>
      </c>
      <c r="FT200" s="123">
        <f t="shared" si="45"/>
        <v>1</v>
      </c>
      <c r="FU200" s="123">
        <f t="shared" si="46"/>
        <v>5</v>
      </c>
      <c r="FV200" s="123">
        <f t="shared" si="47"/>
        <v>4.6</v>
      </c>
      <c r="FW200" s="119">
        <f t="shared" si="48"/>
        <v>13.6</v>
      </c>
      <c r="FX200" s="115">
        <f>1+((FW200-MIN(performance_ratings_sums))*(4)/(MAX(performance_ratings_sums) - MIN(performance_ratings_sums)))</f>
        <v>3.579439252</v>
      </c>
      <c r="FY200" s="116" t="str">
        <f t="shared" si="49"/>
        <v>Pre-Revenue</v>
      </c>
      <c r="FZ200" s="126">
        <f t="shared" si="50"/>
        <v>0.2054794521</v>
      </c>
      <c r="GA200" s="112"/>
      <c r="GB200" s="127">
        <f t="shared" si="51"/>
        <v>1</v>
      </c>
      <c r="GC200" s="116" t="str">
        <f t="shared" si="52"/>
        <v>No</v>
      </c>
      <c r="GD200" s="126">
        <f t="shared" si="53"/>
        <v>0.7671232877</v>
      </c>
      <c r="GE200" s="126" t="str">
        <f t="shared" si="54"/>
        <v/>
      </c>
      <c r="GF200" s="126">
        <f t="shared" si="55"/>
        <v>0</v>
      </c>
      <c r="GG200" s="126" t="str">
        <f t="shared" si="56"/>
        <v/>
      </c>
      <c r="GH200" s="126">
        <f t="shared" si="57"/>
        <v>0</v>
      </c>
      <c r="GI200" s="112"/>
      <c r="GJ200" s="116"/>
      <c r="GK200" s="119">
        <f t="shared" si="58"/>
        <v>13.5864568</v>
      </c>
      <c r="GL200" s="128">
        <f>1+((GK200-MIN(ratings_sums))*(4)/(MAX(ratings_sums) - MIN(ratings_sums)))</f>
        <v>2.961464162</v>
      </c>
    </row>
    <row r="201" ht="15.75" customHeight="1">
      <c r="A201" s="161" t="s">
        <v>1128</v>
      </c>
      <c r="B201" s="15">
        <v>1794484.0</v>
      </c>
      <c r="C201" s="162" t="s">
        <v>1394</v>
      </c>
      <c r="D201" s="209">
        <v>43815.45486111111</v>
      </c>
      <c r="E201" s="15" t="s">
        <v>369</v>
      </c>
      <c r="F201" s="164" t="s">
        <v>1395</v>
      </c>
      <c r="G201" s="164" t="s">
        <v>1396</v>
      </c>
      <c r="H201" s="210">
        <v>43871.0</v>
      </c>
      <c r="I201" s="162" t="s">
        <v>1397</v>
      </c>
      <c r="J201" s="162" t="s">
        <v>1394</v>
      </c>
      <c r="K201" s="15" t="s">
        <v>451</v>
      </c>
      <c r="L201" s="15" t="s">
        <v>193</v>
      </c>
      <c r="M201" s="15" t="s">
        <v>31</v>
      </c>
      <c r="N201" s="15" t="s">
        <v>82</v>
      </c>
      <c r="O201" s="15" t="s">
        <v>35</v>
      </c>
      <c r="Q201" s="15" t="s">
        <v>195</v>
      </c>
      <c r="R201" s="166"/>
      <c r="S201" s="120"/>
      <c r="T201" s="69"/>
      <c r="U201" s="69">
        <v>8000000.0</v>
      </c>
      <c r="V201" s="132">
        <v>0.0</v>
      </c>
      <c r="W201" s="96">
        <f t="shared" si="125"/>
        <v>8000000</v>
      </c>
      <c r="X201" s="98">
        <f t="shared" si="126"/>
        <v>8000000</v>
      </c>
      <c r="Y201" s="99" t="str">
        <f t="shared" si="127"/>
        <v>$6M - $8M</v>
      </c>
      <c r="Z201" s="15" t="s">
        <v>36</v>
      </c>
      <c r="AA201" s="15" t="s">
        <v>123</v>
      </c>
      <c r="AB201" s="15" t="s">
        <v>38</v>
      </c>
      <c r="AC201" s="15" t="s">
        <v>493</v>
      </c>
      <c r="AD201" s="15" t="s">
        <v>39</v>
      </c>
      <c r="AE201" s="15" t="s">
        <v>89</v>
      </c>
      <c r="AF201" s="15" t="s">
        <v>469</v>
      </c>
      <c r="AG201" s="69">
        <v>5.522E10</v>
      </c>
      <c r="AH201" s="97" t="str">
        <f t="shared" si="128"/>
        <v>$50B-$100B</v>
      </c>
      <c r="AI201" s="69">
        <v>1.36E10</v>
      </c>
      <c r="AJ201" s="97" t="str">
        <f t="shared" si="129"/>
        <v>$10B-$25B</v>
      </c>
      <c r="AK201" s="167">
        <v>0.05</v>
      </c>
      <c r="AL201" s="88" t="str">
        <f t="shared" si="130"/>
        <v>0%-10%</v>
      </c>
      <c r="AM201" s="15">
        <v>14.0</v>
      </c>
      <c r="AN201" s="15" t="s">
        <v>89</v>
      </c>
      <c r="AO201" s="15" t="s">
        <v>89</v>
      </c>
      <c r="AP201" s="15" t="s">
        <v>40</v>
      </c>
      <c r="AQ201" s="168"/>
      <c r="AR201" s="168"/>
      <c r="AS201" s="15" t="s">
        <v>469</v>
      </c>
      <c r="AT201" s="15" t="s">
        <v>469</v>
      </c>
      <c r="AU201" s="15" t="s">
        <v>493</v>
      </c>
      <c r="AV201" s="15" t="s">
        <v>493</v>
      </c>
      <c r="AW201" s="69">
        <v>105758.0</v>
      </c>
      <c r="AX201" s="96" t="str">
        <f t="shared" si="131"/>
        <v>$100K - $500K</v>
      </c>
      <c r="AY201" s="69">
        <v>1978.0</v>
      </c>
      <c r="AZ201" s="69">
        <v>600000.0</v>
      </c>
      <c r="BA201" s="103" t="str">
        <f t="shared" si="132"/>
        <v>$500K - $1M</v>
      </c>
      <c r="BB201" s="103">
        <f t="shared" si="133"/>
        <v>0.003296666667</v>
      </c>
      <c r="BC201" s="103" t="str">
        <f t="shared" si="134"/>
        <v>&lt; 10%</v>
      </c>
      <c r="BD201" s="15" t="s">
        <v>107</v>
      </c>
      <c r="BF201" s="15" t="s">
        <v>493</v>
      </c>
      <c r="BG201" s="15">
        <v>4.0</v>
      </c>
      <c r="BH201" s="15">
        <v>3.0</v>
      </c>
      <c r="BI201" s="15" t="s">
        <v>493</v>
      </c>
      <c r="BJ201" s="15" t="s">
        <v>493</v>
      </c>
      <c r="BK201" s="15" t="s">
        <v>493</v>
      </c>
      <c r="BL201" s="15" t="s">
        <v>469</v>
      </c>
      <c r="BM201" s="15">
        <v>5.0</v>
      </c>
      <c r="BN201" s="15">
        <v>3.0</v>
      </c>
      <c r="BO201" s="15">
        <v>0.0</v>
      </c>
      <c r="BP201" s="15">
        <v>0.0</v>
      </c>
      <c r="BQ201" s="108"/>
      <c r="BR201" s="15">
        <v>7.0</v>
      </c>
      <c r="BS201" s="15">
        <v>0.0</v>
      </c>
      <c r="BT201" s="15">
        <v>0.0</v>
      </c>
      <c r="BU201" s="15">
        <v>30.0</v>
      </c>
      <c r="BV201" s="15" t="s">
        <v>469</v>
      </c>
      <c r="BW201" s="108"/>
      <c r="BX201" s="15">
        <v>7.0</v>
      </c>
      <c r="BY201" s="15">
        <v>1.0</v>
      </c>
      <c r="BZ201" s="15">
        <v>0.0</v>
      </c>
      <c r="CA201" s="15">
        <v>31.0</v>
      </c>
      <c r="CB201" s="15" t="s">
        <v>469</v>
      </c>
      <c r="CC201" s="108"/>
      <c r="CD201" s="15">
        <v>0.0</v>
      </c>
      <c r="CE201" s="15">
        <v>1.0</v>
      </c>
      <c r="CF201" s="15">
        <v>0.0</v>
      </c>
      <c r="CG201" s="15">
        <v>38.0</v>
      </c>
      <c r="CH201" s="15" t="s">
        <v>469</v>
      </c>
      <c r="CI201" s="108"/>
      <c r="CO201" s="108"/>
      <c r="CU201" s="108"/>
      <c r="DA201" s="108"/>
      <c r="DG201" s="108"/>
      <c r="DM201" s="108"/>
      <c r="DS201" s="108"/>
      <c r="DT201" s="108"/>
      <c r="DU201" s="108"/>
      <c r="DW201" s="109"/>
      <c r="DX201" s="110">
        <f t="shared" si="13"/>
        <v>4.666666667</v>
      </c>
      <c r="DY201" s="111">
        <f t="shared" ref="DY201:DZ201" si="461">sum(BS201,BY201,CE201,CK201,CQ201,CW201,DC201,DI201,DO201)</f>
        <v>2</v>
      </c>
      <c r="DZ201" s="111">
        <f t="shared" si="461"/>
        <v>0</v>
      </c>
      <c r="EA201" s="110">
        <f t="shared" si="15"/>
        <v>33</v>
      </c>
      <c r="EB201" s="99" t="str">
        <f t="shared" si="16"/>
        <v>20 - 34</v>
      </c>
      <c r="EC201" s="112"/>
      <c r="ED201" s="113">
        <f t="shared" si="17"/>
        <v>4.2</v>
      </c>
      <c r="EE201" s="114">
        <f>IF(V201 &lt;&gt; "", 1+((V201-MIN(discount_rates))*(4)/(MAX(discount_rates) - MIN(discount_rates))), "")</f>
        <v>1</v>
      </c>
      <c r="EF201" s="114" t="str">
        <f>IF(Q201="Debt", (1+((S201-MIN(interest_rates))*(4)/(MAX(interest_rates) - MIN(interest_rates)))), "")</f>
        <v/>
      </c>
      <c r="EG201" s="114" t="str">
        <f>IF(OR(Q201="Revenue Share", Q201="Profit Share"), (1+((R201-MIN(return_mutiples))*(4)/(MAX(return_mutiples) - MIN(return_mutiples)))), "")</f>
        <v/>
      </c>
      <c r="EH201" s="115">
        <f t="shared" si="18"/>
        <v>4.2</v>
      </c>
      <c r="EI201" s="116" t="str">
        <f t="shared" si="19"/>
        <v>SAFE</v>
      </c>
      <c r="EJ201" s="117">
        <f t="shared" si="20"/>
        <v>0.3561643836</v>
      </c>
      <c r="EK201" s="116" t="str">
        <f t="shared" si="21"/>
        <v>Early</v>
      </c>
      <c r="EL201" s="112"/>
      <c r="EM201" s="118">
        <f t="shared" si="22"/>
        <v>3.3</v>
      </c>
      <c r="EN201" s="118">
        <f t="shared" si="23"/>
        <v>1.7</v>
      </c>
      <c r="EO201" s="119">
        <f t="shared" si="24"/>
        <v>5</v>
      </c>
      <c r="EP201" s="115">
        <f>1+((EO201-MIN(market_ratings_sums))*(4)/(MAX(market_ratings_sums) - MIN(market_ratings_sums)))</f>
        <v>2.614035088</v>
      </c>
      <c r="EQ201" s="116" t="str">
        <f t="shared" si="25"/>
        <v>No</v>
      </c>
      <c r="ER201" s="112"/>
      <c r="ES201" s="123">
        <f>1+((DX201-MIN(industry_experiences))*(4)/(MAX(industry_experiences) - MIN(industry_experiences)))</f>
        <v>1.444444444</v>
      </c>
      <c r="ET201" s="123">
        <f>1+((DY201-MIN(previous_startups))*(4)/(MAX(previous_startups) - MIN(previous_startups)))</f>
        <v>1.888888889</v>
      </c>
      <c r="EU201" s="123">
        <f>1+((DZ201-MIN(exits))*(4)/(MAX(exits) - MIN(exits)))</f>
        <v>1</v>
      </c>
      <c r="EV201" s="119">
        <f t="shared" si="26"/>
        <v>4.333333333</v>
      </c>
      <c r="EW201" s="124">
        <f>1+((EV201-MIN(team_ratings_sums))*(4)/(MAX(team_ratings_sums) - MIN(team_ratings_sums)))</f>
        <v>1.730434783</v>
      </c>
      <c r="EX201" s="116" t="str">
        <f t="shared" si="27"/>
        <v>20 - 34</v>
      </c>
      <c r="EY201" s="125">
        <f t="shared" si="28"/>
        <v>0.2054794521</v>
      </c>
      <c r="EZ201" s="116">
        <f t="shared" si="29"/>
        <v>3</v>
      </c>
      <c r="FA201" s="125">
        <f t="shared" si="30"/>
        <v>0.05479452055</v>
      </c>
      <c r="FB201" s="116">
        <f t="shared" si="31"/>
        <v>3</v>
      </c>
      <c r="FC201" s="125">
        <f t="shared" si="32"/>
        <v>0.08219178082</v>
      </c>
      <c r="FD201" s="116" t="str">
        <f t="shared" si="33"/>
        <v>Yes</v>
      </c>
      <c r="FE201" s="125">
        <f t="shared" si="34"/>
        <v>0.2465753425</v>
      </c>
      <c r="FF201" s="116" t="str">
        <f t="shared" ref="FF201:FH201" si="462">BJ201</f>
        <v>Yes</v>
      </c>
      <c r="FG201" s="116" t="str">
        <f t="shared" si="462"/>
        <v>Yes</v>
      </c>
      <c r="FH201" s="116" t="str">
        <f t="shared" si="462"/>
        <v>No</v>
      </c>
      <c r="FI201" s="112"/>
      <c r="FJ201" s="116" t="str">
        <f t="shared" si="36"/>
        <v>Transactional</v>
      </c>
      <c r="FK201" s="125">
        <f t="shared" si="37"/>
        <v>0.602739726</v>
      </c>
      <c r="FL201" s="116" t="str">
        <f t="shared" si="38"/>
        <v>B2B/B2C</v>
      </c>
      <c r="FM201" s="125">
        <f t="shared" si="39"/>
        <v>0.3287671233</v>
      </c>
      <c r="FN201" s="116" t="str">
        <f t="shared" si="40"/>
        <v>High</v>
      </c>
      <c r="FO201" s="125">
        <f t="shared" si="41"/>
        <v>0.5616438356</v>
      </c>
      <c r="FP201" s="116" t="str">
        <f t="shared" si="42"/>
        <v>Low</v>
      </c>
      <c r="FQ201" s="125">
        <f t="shared" si="43"/>
        <v>0.3561643836</v>
      </c>
      <c r="FR201" s="112"/>
      <c r="FS201" s="123">
        <f t="shared" si="44"/>
        <v>5</v>
      </c>
      <c r="FT201" s="123">
        <f t="shared" si="45"/>
        <v>2.3</v>
      </c>
      <c r="FU201" s="123">
        <f t="shared" si="46"/>
        <v>5</v>
      </c>
      <c r="FV201" s="123">
        <f t="shared" si="47"/>
        <v>3.2</v>
      </c>
      <c r="FW201" s="119">
        <f t="shared" si="48"/>
        <v>15.5</v>
      </c>
      <c r="FX201" s="115">
        <f>1+((FW201-MIN(performance_ratings_sums))*(4)/(MAX(performance_ratings_sums) - MIN(performance_ratings_sums)))</f>
        <v>4.289719626</v>
      </c>
      <c r="FY201" s="116" t="str">
        <f t="shared" si="49"/>
        <v>Pre-Profit</v>
      </c>
      <c r="FZ201" s="126">
        <f t="shared" si="50"/>
        <v>0.4931506849</v>
      </c>
      <c r="GA201" s="112"/>
      <c r="GB201" s="127">
        <f t="shared" si="51"/>
        <v>1</v>
      </c>
      <c r="GC201" s="116" t="str">
        <f t="shared" si="52"/>
        <v>No</v>
      </c>
      <c r="GD201" s="126">
        <f t="shared" si="53"/>
        <v>0.7671232877</v>
      </c>
      <c r="GE201" s="126" t="str">
        <f t="shared" si="54"/>
        <v/>
      </c>
      <c r="GF201" s="126">
        <f t="shared" si="55"/>
        <v>0</v>
      </c>
      <c r="GG201" s="126" t="str">
        <f t="shared" si="56"/>
        <v/>
      </c>
      <c r="GH201" s="126">
        <f t="shared" si="57"/>
        <v>0</v>
      </c>
      <c r="GI201" s="112"/>
      <c r="GJ201" s="116"/>
      <c r="GK201" s="119">
        <f t="shared" si="58"/>
        <v>13.8341895</v>
      </c>
      <c r="GL201" s="128">
        <f>1+((GK201-MIN(ratings_sums))*(4)/(MAX(ratings_sums) - MIN(ratings_sums)))</f>
        <v>3.037478456</v>
      </c>
    </row>
    <row r="202" ht="15.75" customHeight="1">
      <c r="A202" s="161" t="s">
        <v>1128</v>
      </c>
      <c r="B202" s="15">
        <v>1791125.0</v>
      </c>
      <c r="C202" s="162" t="s">
        <v>1398</v>
      </c>
      <c r="D202" s="209">
        <v>43815.46041666667</v>
      </c>
      <c r="E202" s="15" t="s">
        <v>381</v>
      </c>
      <c r="F202" s="164" t="s">
        <v>1399</v>
      </c>
      <c r="G202" s="164" t="s">
        <v>1400</v>
      </c>
      <c r="H202" s="210">
        <v>43907.0</v>
      </c>
      <c r="I202" s="162" t="s">
        <v>1401</v>
      </c>
      <c r="J202" s="162" t="s">
        <v>1398</v>
      </c>
      <c r="K202" s="15" t="s">
        <v>452</v>
      </c>
      <c r="L202" s="15" t="s">
        <v>154</v>
      </c>
      <c r="M202" s="15" t="s">
        <v>31</v>
      </c>
      <c r="N202" s="15" t="s">
        <v>32</v>
      </c>
      <c r="O202" s="15" t="s">
        <v>35</v>
      </c>
      <c r="Q202" s="15" t="s">
        <v>121</v>
      </c>
      <c r="R202" s="166"/>
      <c r="S202" s="120"/>
      <c r="T202" s="69">
        <v>6375000.0</v>
      </c>
      <c r="U202" s="69"/>
      <c r="V202" s="132"/>
      <c r="W202" s="96" t="str">
        <f t="shared" si="125"/>
        <v/>
      </c>
      <c r="X202" s="98">
        <f t="shared" si="126"/>
        <v>6375000</v>
      </c>
      <c r="Y202" s="99" t="str">
        <f t="shared" si="127"/>
        <v>$6M - $8M</v>
      </c>
      <c r="Z202" s="15" t="s">
        <v>36</v>
      </c>
      <c r="AA202" s="15" t="s">
        <v>87</v>
      </c>
      <c r="AB202" s="15" t="s">
        <v>88</v>
      </c>
      <c r="AC202" s="15" t="s">
        <v>493</v>
      </c>
      <c r="AD202" s="15" t="s">
        <v>39</v>
      </c>
      <c r="AE202" s="15" t="s">
        <v>89</v>
      </c>
      <c r="AF202" s="15" t="s">
        <v>469</v>
      </c>
      <c r="AG202" s="69">
        <v>1.31E9</v>
      </c>
      <c r="AH202" s="97" t="str">
        <f t="shared" si="128"/>
        <v>$1B-$5B</v>
      </c>
      <c r="AI202" s="69">
        <v>1.31E9</v>
      </c>
      <c r="AJ202" s="97" t="str">
        <f t="shared" si="129"/>
        <v>$1B-$5B</v>
      </c>
      <c r="AK202" s="167">
        <v>0.27</v>
      </c>
      <c r="AL202" s="88" t="str">
        <f t="shared" si="130"/>
        <v>20%-30%</v>
      </c>
      <c r="AM202" s="15">
        <v>13.0</v>
      </c>
      <c r="AN202" s="15" t="s">
        <v>89</v>
      </c>
      <c r="AO202" s="15" t="s">
        <v>89</v>
      </c>
      <c r="AP202" s="15" t="s">
        <v>40</v>
      </c>
      <c r="AQ202" s="168"/>
      <c r="AR202" s="168"/>
      <c r="AS202" s="15" t="s">
        <v>469</v>
      </c>
      <c r="AT202" s="15" t="s">
        <v>469</v>
      </c>
      <c r="AU202" s="15" t="s">
        <v>493</v>
      </c>
      <c r="AV202" s="15" t="s">
        <v>493</v>
      </c>
      <c r="AW202" s="69">
        <v>11877.0</v>
      </c>
      <c r="AX202" s="96" t="str">
        <f t="shared" si="131"/>
        <v>$10K - $50K</v>
      </c>
      <c r="AY202" s="69">
        <v>6842.0</v>
      </c>
      <c r="AZ202" s="69">
        <v>238214.0</v>
      </c>
      <c r="BA202" s="103" t="str">
        <f t="shared" si="132"/>
        <v>$100K - $500K</v>
      </c>
      <c r="BB202" s="103">
        <f t="shared" si="133"/>
        <v>0.02872207343</v>
      </c>
      <c r="BC202" s="103" t="str">
        <f t="shared" si="134"/>
        <v>&lt; 10%</v>
      </c>
      <c r="BD202" s="15" t="s">
        <v>107</v>
      </c>
      <c r="BF202" s="15" t="s">
        <v>469</v>
      </c>
      <c r="BG202" s="15">
        <v>0.0</v>
      </c>
      <c r="BH202" s="15">
        <v>1.0</v>
      </c>
      <c r="BI202" s="15" t="s">
        <v>493</v>
      </c>
      <c r="BJ202" s="15" t="s">
        <v>469</v>
      </c>
      <c r="BK202" s="15" t="s">
        <v>469</v>
      </c>
      <c r="BL202" s="15" t="s">
        <v>493</v>
      </c>
      <c r="BM202" s="15">
        <v>1.0</v>
      </c>
      <c r="BN202" s="15">
        <v>4.0</v>
      </c>
      <c r="BO202" s="15">
        <v>0.0</v>
      </c>
      <c r="BP202" s="15">
        <v>0.0</v>
      </c>
      <c r="BQ202" s="108"/>
      <c r="BR202" s="15">
        <v>42.0</v>
      </c>
      <c r="BS202" s="15">
        <v>2.0</v>
      </c>
      <c r="BT202" s="15">
        <v>0.0</v>
      </c>
      <c r="BU202" s="15">
        <v>58.0</v>
      </c>
      <c r="BV202" s="15" t="s">
        <v>493</v>
      </c>
      <c r="BW202" s="108"/>
      <c r="CC202" s="108"/>
      <c r="CI202" s="108"/>
      <c r="CO202" s="108"/>
      <c r="CU202" s="108"/>
      <c r="DA202" s="108"/>
      <c r="DG202" s="108"/>
      <c r="DM202" s="108"/>
      <c r="DS202" s="108"/>
      <c r="DT202" s="108"/>
      <c r="DU202" s="108"/>
      <c r="DW202" s="109"/>
      <c r="DX202" s="110">
        <f t="shared" si="13"/>
        <v>42</v>
      </c>
      <c r="DY202" s="111">
        <f t="shared" ref="DY202:DZ202" si="463">sum(BS202,BY202,CE202,CK202,CQ202,CW202,DC202,DI202,DO202)</f>
        <v>2</v>
      </c>
      <c r="DZ202" s="111">
        <f t="shared" si="463"/>
        <v>0</v>
      </c>
      <c r="EA202" s="110">
        <f t="shared" si="15"/>
        <v>58</v>
      </c>
      <c r="EB202" s="99" t="str">
        <f t="shared" si="16"/>
        <v>55+</v>
      </c>
      <c r="EC202" s="112"/>
      <c r="ED202" s="113">
        <f t="shared" si="17"/>
        <v>4.2</v>
      </c>
      <c r="EE202" s="114" t="str">
        <f>IF(V202 &lt;&gt; "", 1+((V202-MIN(discount_rates))*(4)/(MAX(discount_rates) - MIN(discount_rates))), "")</f>
        <v/>
      </c>
      <c r="EF202" s="114" t="str">
        <f>IF(Q202="Debt", (1+((S202-MIN(interest_rates))*(4)/(MAX(interest_rates) - MIN(interest_rates)))), "")</f>
        <v/>
      </c>
      <c r="EG202" s="114" t="str">
        <f>IF(OR(Q202="Revenue Share", Q202="Profit Share"), (1+((R202-MIN(return_mutiples))*(4)/(MAX(return_mutiples) - MIN(return_mutiples)))), "")</f>
        <v/>
      </c>
      <c r="EH202" s="115">
        <f t="shared" si="18"/>
        <v>4.2</v>
      </c>
      <c r="EI202" s="116" t="str">
        <f t="shared" si="19"/>
        <v>Equity - Common</v>
      </c>
      <c r="EJ202" s="117">
        <f t="shared" si="20"/>
        <v>0.3287671233</v>
      </c>
      <c r="EK202" s="116" t="str">
        <f t="shared" si="21"/>
        <v>Early</v>
      </c>
      <c r="EL202" s="112"/>
      <c r="EM202" s="118">
        <f t="shared" si="22"/>
        <v>2.7</v>
      </c>
      <c r="EN202" s="118">
        <f t="shared" si="23"/>
        <v>3</v>
      </c>
      <c r="EO202" s="119">
        <f t="shared" si="24"/>
        <v>5.7</v>
      </c>
      <c r="EP202" s="115">
        <f>1+((EO202-MIN(market_ratings_sums))*(4)/(MAX(market_ratings_sums) - MIN(market_ratings_sums)))</f>
        <v>3.105263158</v>
      </c>
      <c r="EQ202" s="116" t="str">
        <f t="shared" si="25"/>
        <v>No</v>
      </c>
      <c r="ER202" s="112"/>
      <c r="ES202" s="123">
        <f>1+((DX202-MIN(industry_experiences))*(4)/(MAX(industry_experiences) - MIN(industry_experiences)))</f>
        <v>5</v>
      </c>
      <c r="ET202" s="123">
        <f>1+((DY202-MIN(previous_startups))*(4)/(MAX(previous_startups) - MIN(previous_startups)))</f>
        <v>1.888888889</v>
      </c>
      <c r="EU202" s="123">
        <f>1+((DZ202-MIN(exits))*(4)/(MAX(exits) - MIN(exits)))</f>
        <v>1</v>
      </c>
      <c r="EV202" s="119">
        <f t="shared" si="26"/>
        <v>7.888888889</v>
      </c>
      <c r="EW202" s="124">
        <f>1+((EV202-MIN(team_ratings_sums))*(4)/(MAX(team_ratings_sums) - MIN(team_ratings_sums)))</f>
        <v>3.67826087</v>
      </c>
      <c r="EX202" s="116" t="str">
        <f t="shared" si="27"/>
        <v>55+</v>
      </c>
      <c r="EY202" s="125">
        <f t="shared" si="28"/>
        <v>0.1095890411</v>
      </c>
      <c r="EZ202" s="116">
        <f t="shared" si="29"/>
        <v>1</v>
      </c>
      <c r="FA202" s="125">
        <f t="shared" si="30"/>
        <v>0.4383561644</v>
      </c>
      <c r="FB202" s="116">
        <f t="shared" si="31"/>
        <v>4</v>
      </c>
      <c r="FC202" s="125">
        <f t="shared" si="32"/>
        <v>0.1369863014</v>
      </c>
      <c r="FD202" s="116" t="str">
        <f t="shared" si="33"/>
        <v>Yes</v>
      </c>
      <c r="FE202" s="125">
        <f t="shared" si="34"/>
        <v>0.2465753425</v>
      </c>
      <c r="FF202" s="116" t="str">
        <f t="shared" ref="FF202:FH202" si="464">BJ202</f>
        <v>No</v>
      </c>
      <c r="FG202" s="116" t="str">
        <f t="shared" si="464"/>
        <v>No</v>
      </c>
      <c r="FH202" s="116" t="str">
        <f t="shared" si="464"/>
        <v>Yes</v>
      </c>
      <c r="FI202" s="112"/>
      <c r="FJ202" s="116" t="str">
        <f t="shared" si="36"/>
        <v>Transactional</v>
      </c>
      <c r="FK202" s="125">
        <f t="shared" si="37"/>
        <v>0.602739726</v>
      </c>
      <c r="FL202" s="116" t="str">
        <f t="shared" si="38"/>
        <v>B2C</v>
      </c>
      <c r="FM202" s="125">
        <f t="shared" si="39"/>
        <v>0.397260274</v>
      </c>
      <c r="FN202" s="116" t="str">
        <f t="shared" si="40"/>
        <v>High</v>
      </c>
      <c r="FO202" s="125">
        <f t="shared" si="41"/>
        <v>0.5616438356</v>
      </c>
      <c r="FP202" s="116" t="str">
        <f t="shared" si="42"/>
        <v>Low</v>
      </c>
      <c r="FQ202" s="125">
        <f t="shared" si="43"/>
        <v>0.3561643836</v>
      </c>
      <c r="FR202" s="112"/>
      <c r="FS202" s="123">
        <f t="shared" si="44"/>
        <v>5</v>
      </c>
      <c r="FT202" s="123">
        <f t="shared" si="45"/>
        <v>1.4</v>
      </c>
      <c r="FU202" s="123">
        <f t="shared" si="46"/>
        <v>5</v>
      </c>
      <c r="FV202" s="123">
        <f t="shared" si="47"/>
        <v>3.7</v>
      </c>
      <c r="FW202" s="119">
        <f t="shared" si="48"/>
        <v>15.1</v>
      </c>
      <c r="FX202" s="115">
        <f>1+((FW202-MIN(performance_ratings_sums))*(4)/(MAX(performance_ratings_sums) - MIN(performance_ratings_sums)))</f>
        <v>4.140186916</v>
      </c>
      <c r="FY202" s="116" t="str">
        <f t="shared" si="49"/>
        <v>Pre-Profit</v>
      </c>
      <c r="FZ202" s="126">
        <f t="shared" si="50"/>
        <v>0.4931506849</v>
      </c>
      <c r="GA202" s="112"/>
      <c r="GB202" s="127">
        <f t="shared" si="51"/>
        <v>1</v>
      </c>
      <c r="GC202" s="116" t="str">
        <f t="shared" si="52"/>
        <v>No</v>
      </c>
      <c r="GD202" s="126">
        <f t="shared" si="53"/>
        <v>0.7671232877</v>
      </c>
      <c r="GE202" s="126" t="str">
        <f t="shared" si="54"/>
        <v/>
      </c>
      <c r="GF202" s="126">
        <f t="shared" si="55"/>
        <v>0</v>
      </c>
      <c r="GG202" s="126" t="str">
        <f t="shared" si="56"/>
        <v/>
      </c>
      <c r="GH202" s="126">
        <f t="shared" si="57"/>
        <v>0</v>
      </c>
      <c r="GI202" s="112"/>
      <c r="GJ202" s="116"/>
      <c r="GK202" s="119">
        <f t="shared" si="58"/>
        <v>16.12371094</v>
      </c>
      <c r="GL202" s="128">
        <f>1+((GK202-MIN(ratings_sums))*(4)/(MAX(ratings_sums) - MIN(ratings_sums)))</f>
        <v>3.739995142</v>
      </c>
    </row>
    <row r="203" ht="15.75" customHeight="1">
      <c r="A203" s="161" t="s">
        <v>1128</v>
      </c>
      <c r="B203" s="15">
        <v>1638850.0</v>
      </c>
      <c r="C203" s="162" t="s">
        <v>1402</v>
      </c>
      <c r="D203" s="209">
        <v>43816.42986111111</v>
      </c>
      <c r="E203" s="15" t="s">
        <v>381</v>
      </c>
      <c r="F203" s="164" t="s">
        <v>1403</v>
      </c>
      <c r="G203" s="164" t="s">
        <v>1404</v>
      </c>
      <c r="H203" s="173">
        <v>43907.0</v>
      </c>
      <c r="I203" s="162" t="s">
        <v>1405</v>
      </c>
      <c r="J203" s="162" t="s">
        <v>1402</v>
      </c>
      <c r="K203" s="15" t="s">
        <v>262</v>
      </c>
      <c r="L203" s="15" t="s">
        <v>316</v>
      </c>
      <c r="M203" s="15" t="s">
        <v>31</v>
      </c>
      <c r="N203" s="15" t="s">
        <v>101</v>
      </c>
      <c r="O203" s="15" t="s">
        <v>35</v>
      </c>
      <c r="Q203" s="15" t="s">
        <v>121</v>
      </c>
      <c r="R203" s="166"/>
      <c r="S203" s="120"/>
      <c r="T203" s="69">
        <v>5.1470577E7</v>
      </c>
      <c r="U203" s="69"/>
      <c r="V203" s="132"/>
      <c r="W203" s="96" t="str">
        <f t="shared" si="125"/>
        <v/>
      </c>
      <c r="X203" s="98">
        <f t="shared" si="126"/>
        <v>51470577</v>
      </c>
      <c r="Y203" s="99" t="str">
        <f t="shared" si="127"/>
        <v>&lt; $40M</v>
      </c>
      <c r="Z203" s="15" t="s">
        <v>36</v>
      </c>
      <c r="AA203" s="15" t="s">
        <v>123</v>
      </c>
      <c r="AB203" s="15" t="s">
        <v>38</v>
      </c>
      <c r="AC203" s="15" t="s">
        <v>493</v>
      </c>
      <c r="AD203" s="15" t="s">
        <v>89</v>
      </c>
      <c r="AE203" s="15" t="s">
        <v>39</v>
      </c>
      <c r="AF203" s="15" t="s">
        <v>469</v>
      </c>
      <c r="AG203" s="69">
        <v>8.72E11</v>
      </c>
      <c r="AH203" s="97" t="str">
        <f t="shared" si="128"/>
        <v>$500B-$1T</v>
      </c>
      <c r="AI203" s="69">
        <v>2.5E10</v>
      </c>
      <c r="AJ203" s="97" t="str">
        <f t="shared" si="129"/>
        <v>$25B-$50B</v>
      </c>
      <c r="AK203" s="167">
        <v>0.03</v>
      </c>
      <c r="AL203" s="88" t="str">
        <f t="shared" si="130"/>
        <v>0%-10%</v>
      </c>
      <c r="AM203" s="15">
        <v>11.0</v>
      </c>
      <c r="AN203" s="15" t="s">
        <v>89</v>
      </c>
      <c r="AO203" s="15" t="s">
        <v>89</v>
      </c>
      <c r="AP203" s="15" t="s">
        <v>40</v>
      </c>
      <c r="AQ203" s="168"/>
      <c r="AR203" s="168"/>
      <c r="AS203" s="15" t="s">
        <v>469</v>
      </c>
      <c r="AT203" s="15" t="s">
        <v>493</v>
      </c>
      <c r="AU203" s="15" t="s">
        <v>469</v>
      </c>
      <c r="AV203" s="15" t="s">
        <v>469</v>
      </c>
      <c r="AW203" s="69">
        <v>0.0</v>
      </c>
      <c r="AX203" s="96" t="str">
        <f t="shared" si="131"/>
        <v>&lt; $10K</v>
      </c>
      <c r="AY203" s="69">
        <v>316563.0</v>
      </c>
      <c r="AZ203" s="69">
        <v>6595370.0</v>
      </c>
      <c r="BA203" s="103" t="str">
        <f t="shared" si="132"/>
        <v>&gt; $5M</v>
      </c>
      <c r="BB203" s="103">
        <f t="shared" si="133"/>
        <v>0.04799776207</v>
      </c>
      <c r="BC203" s="103" t="str">
        <f t="shared" si="134"/>
        <v>&lt; 10%</v>
      </c>
      <c r="BD203" s="15" t="s">
        <v>41</v>
      </c>
      <c r="BF203" s="15" t="s">
        <v>469</v>
      </c>
      <c r="BG203" s="15">
        <v>0.0</v>
      </c>
      <c r="BH203" s="15">
        <v>1.0</v>
      </c>
      <c r="BI203" s="15" t="s">
        <v>493</v>
      </c>
      <c r="BJ203" s="15" t="s">
        <v>469</v>
      </c>
      <c r="BK203" s="15" t="s">
        <v>469</v>
      </c>
      <c r="BL203" s="15" t="s">
        <v>469</v>
      </c>
      <c r="BM203" s="15">
        <v>2.0</v>
      </c>
      <c r="BN203" s="15">
        <v>1.0</v>
      </c>
      <c r="BO203" s="15">
        <v>0.0</v>
      </c>
      <c r="BP203" s="15">
        <v>0.0</v>
      </c>
      <c r="BQ203" s="108"/>
      <c r="BR203" s="15">
        <v>15.0</v>
      </c>
      <c r="BS203" s="15">
        <v>1.0</v>
      </c>
      <c r="BT203" s="15">
        <v>0.0</v>
      </c>
      <c r="BU203" s="15">
        <v>71.0</v>
      </c>
      <c r="BV203" s="15" t="s">
        <v>469</v>
      </c>
      <c r="BW203" s="108"/>
      <c r="CC203" s="108"/>
      <c r="CI203" s="108"/>
      <c r="CO203" s="108"/>
      <c r="CU203" s="108"/>
      <c r="DA203" s="108"/>
      <c r="DG203" s="108"/>
      <c r="DM203" s="108"/>
      <c r="DS203" s="108"/>
      <c r="DT203" s="108"/>
      <c r="DU203" s="108"/>
      <c r="DW203" s="109"/>
      <c r="DX203" s="110">
        <f t="shared" si="13"/>
        <v>15</v>
      </c>
      <c r="DY203" s="111">
        <f t="shared" ref="DY203:DZ203" si="465">sum(BS203,BY203,CE203,CK203,CQ203,CW203,DC203,DI203,DO203)</f>
        <v>1</v>
      </c>
      <c r="DZ203" s="111">
        <f t="shared" si="465"/>
        <v>0</v>
      </c>
      <c r="EA203" s="110">
        <f t="shared" si="15"/>
        <v>71</v>
      </c>
      <c r="EB203" s="99" t="str">
        <f t="shared" si="16"/>
        <v>55+</v>
      </c>
      <c r="EC203" s="112"/>
      <c r="ED203" s="113">
        <f t="shared" si="17"/>
        <v>1</v>
      </c>
      <c r="EE203" s="114" t="str">
        <f>IF(V203 &lt;&gt; "", 1+((V203-MIN(discount_rates))*(4)/(MAX(discount_rates) - MIN(discount_rates))), "")</f>
        <v/>
      </c>
      <c r="EF203" s="114" t="str">
        <f>IF(Q203="Debt", (1+((S203-MIN(interest_rates))*(4)/(MAX(interest_rates) - MIN(interest_rates)))), "")</f>
        <v/>
      </c>
      <c r="EG203" s="114" t="str">
        <f>IF(OR(Q203="Revenue Share", Q203="Profit Share"), (1+((R203-MIN(return_mutiples))*(4)/(MAX(return_mutiples) - MIN(return_mutiples)))), "")</f>
        <v/>
      </c>
      <c r="EH203" s="115">
        <f t="shared" si="18"/>
        <v>1</v>
      </c>
      <c r="EI203" s="116" t="str">
        <f t="shared" si="19"/>
        <v>Equity - Common</v>
      </c>
      <c r="EJ203" s="117">
        <f t="shared" si="20"/>
        <v>0.3287671233</v>
      </c>
      <c r="EK203" s="116" t="str">
        <f t="shared" si="21"/>
        <v>Early</v>
      </c>
      <c r="EL203" s="112"/>
      <c r="EM203" s="118">
        <f t="shared" si="22"/>
        <v>3.6</v>
      </c>
      <c r="EN203" s="118">
        <f t="shared" si="23"/>
        <v>1.7</v>
      </c>
      <c r="EO203" s="119">
        <f t="shared" si="24"/>
        <v>5.3</v>
      </c>
      <c r="EP203" s="115">
        <f>1+((EO203-MIN(market_ratings_sums))*(4)/(MAX(market_ratings_sums) - MIN(market_ratings_sums)))</f>
        <v>2.824561404</v>
      </c>
      <c r="EQ203" s="116" t="str">
        <f t="shared" si="25"/>
        <v>No</v>
      </c>
      <c r="ER203" s="112"/>
      <c r="ES203" s="123">
        <f>1+((DX203-MIN(industry_experiences))*(4)/(MAX(industry_experiences) - MIN(industry_experiences)))</f>
        <v>2.428571429</v>
      </c>
      <c r="ET203" s="123">
        <f>1+((DY203-MIN(previous_startups))*(4)/(MAX(previous_startups) - MIN(previous_startups)))</f>
        <v>1.444444444</v>
      </c>
      <c r="EU203" s="123">
        <f>1+((DZ203-MIN(exits))*(4)/(MAX(exits) - MIN(exits)))</f>
        <v>1</v>
      </c>
      <c r="EV203" s="119">
        <f t="shared" si="26"/>
        <v>4.873015873</v>
      </c>
      <c r="EW203" s="124">
        <f>1+((EV203-MIN(team_ratings_sums))*(4)/(MAX(team_ratings_sums) - MIN(team_ratings_sums)))</f>
        <v>2.026086957</v>
      </c>
      <c r="EX203" s="116" t="str">
        <f t="shared" si="27"/>
        <v>55+</v>
      </c>
      <c r="EY203" s="125">
        <f t="shared" si="28"/>
        <v>0.1095890411</v>
      </c>
      <c r="EZ203" s="116">
        <f t="shared" si="29"/>
        <v>1</v>
      </c>
      <c r="FA203" s="125">
        <f t="shared" si="30"/>
        <v>0.4383561644</v>
      </c>
      <c r="FB203" s="116">
        <f t="shared" si="31"/>
        <v>1</v>
      </c>
      <c r="FC203" s="125">
        <f t="shared" si="32"/>
        <v>0.08219178082</v>
      </c>
      <c r="FD203" s="116" t="str">
        <f t="shared" si="33"/>
        <v>Yes</v>
      </c>
      <c r="FE203" s="125">
        <f t="shared" si="34"/>
        <v>0.2465753425</v>
      </c>
      <c r="FF203" s="116" t="str">
        <f t="shared" ref="FF203:FH203" si="466">BJ203</f>
        <v>No</v>
      </c>
      <c r="FG203" s="116" t="str">
        <f t="shared" si="466"/>
        <v>No</v>
      </c>
      <c r="FH203" s="116" t="str">
        <f t="shared" si="466"/>
        <v>No</v>
      </c>
      <c r="FI203" s="112"/>
      <c r="FJ203" s="116" t="str">
        <f t="shared" si="36"/>
        <v>Transactional</v>
      </c>
      <c r="FK203" s="125">
        <f t="shared" si="37"/>
        <v>0.602739726</v>
      </c>
      <c r="FL203" s="116" t="str">
        <f t="shared" si="38"/>
        <v>B2B/B2C</v>
      </c>
      <c r="FM203" s="125">
        <f t="shared" si="39"/>
        <v>0.3287671233</v>
      </c>
      <c r="FN203" s="116" t="str">
        <f t="shared" si="40"/>
        <v>Low</v>
      </c>
      <c r="FO203" s="125">
        <f t="shared" si="41"/>
        <v>0.4383561644</v>
      </c>
      <c r="FP203" s="116" t="str">
        <f t="shared" si="42"/>
        <v>High</v>
      </c>
      <c r="FQ203" s="125">
        <f t="shared" si="43"/>
        <v>0.6438356164</v>
      </c>
      <c r="FR203" s="112"/>
      <c r="FS203" s="123">
        <f t="shared" si="44"/>
        <v>1</v>
      </c>
      <c r="FT203" s="123">
        <f t="shared" si="45"/>
        <v>1</v>
      </c>
      <c r="FU203" s="123">
        <f t="shared" si="46"/>
        <v>5</v>
      </c>
      <c r="FV203" s="123">
        <f t="shared" si="47"/>
        <v>1</v>
      </c>
      <c r="FW203" s="119">
        <f t="shared" si="48"/>
        <v>8</v>
      </c>
      <c r="FX203" s="115">
        <f>1+((FW203-MIN(performance_ratings_sums))*(4)/(MAX(performance_ratings_sums) - MIN(performance_ratings_sums)))</f>
        <v>1.485981308</v>
      </c>
      <c r="FY203" s="116" t="str">
        <f t="shared" si="49"/>
        <v>Pre-Product</v>
      </c>
      <c r="FZ203" s="126">
        <f t="shared" si="50"/>
        <v>0.2328767123</v>
      </c>
      <c r="GA203" s="112"/>
      <c r="GB203" s="127">
        <f t="shared" si="51"/>
        <v>1</v>
      </c>
      <c r="GC203" s="116" t="str">
        <f t="shared" si="52"/>
        <v>Yes</v>
      </c>
      <c r="GD203" s="126">
        <f t="shared" si="53"/>
        <v>0.2328767123</v>
      </c>
      <c r="GE203" s="126" t="str">
        <f t="shared" si="54"/>
        <v/>
      </c>
      <c r="GF203" s="126">
        <f t="shared" si="55"/>
        <v>0</v>
      </c>
      <c r="GG203" s="126" t="str">
        <f t="shared" si="56"/>
        <v/>
      </c>
      <c r="GH203" s="126">
        <f t="shared" si="57"/>
        <v>0</v>
      </c>
      <c r="GI203" s="112"/>
      <c r="GJ203" s="116"/>
      <c r="GK203" s="119">
        <f t="shared" si="58"/>
        <v>8.336629668</v>
      </c>
      <c r="GL203" s="128">
        <f>1+((GK203-MIN(ratings_sums))*(4)/(MAX(ratings_sums) - MIN(ratings_sums)))</f>
        <v>1.350607377</v>
      </c>
    </row>
    <row r="204" ht="15.75" customHeight="1">
      <c r="A204" s="161" t="s">
        <v>1128</v>
      </c>
      <c r="B204" s="15">
        <v>1639681.0</v>
      </c>
      <c r="C204" s="162" t="s">
        <v>1406</v>
      </c>
      <c r="D204" s="209">
        <v>43816.43194444444</v>
      </c>
      <c r="E204" s="15" t="s">
        <v>381</v>
      </c>
      <c r="F204" s="164" t="s">
        <v>1407</v>
      </c>
      <c r="G204" s="164" t="s">
        <v>1408</v>
      </c>
      <c r="H204" s="173">
        <v>43903.0</v>
      </c>
      <c r="I204" s="162" t="s">
        <v>1409</v>
      </c>
      <c r="J204" s="162" t="s">
        <v>1406</v>
      </c>
      <c r="K204" s="15" t="s">
        <v>509</v>
      </c>
      <c r="L204" s="15" t="s">
        <v>390</v>
      </c>
      <c r="M204" s="15" t="s">
        <v>31</v>
      </c>
      <c r="N204" s="15" t="s">
        <v>101</v>
      </c>
      <c r="O204" s="15" t="s">
        <v>35</v>
      </c>
      <c r="Q204" s="15" t="s">
        <v>135</v>
      </c>
      <c r="R204" s="166"/>
      <c r="S204" s="120"/>
      <c r="T204" s="69">
        <v>3.4019537E7</v>
      </c>
      <c r="U204" s="69"/>
      <c r="V204" s="132"/>
      <c r="W204" s="96" t="str">
        <f t="shared" si="125"/>
        <v/>
      </c>
      <c r="X204" s="98">
        <f t="shared" si="126"/>
        <v>34019537</v>
      </c>
      <c r="Y204" s="99" t="str">
        <f t="shared" si="127"/>
        <v>$34M - $36M</v>
      </c>
      <c r="Z204" s="15" t="s">
        <v>36</v>
      </c>
      <c r="AA204" s="15" t="s">
        <v>37</v>
      </c>
      <c r="AB204" s="15" t="s">
        <v>88</v>
      </c>
      <c r="AC204" s="15" t="s">
        <v>493</v>
      </c>
      <c r="AD204" s="15" t="s">
        <v>39</v>
      </c>
      <c r="AE204" s="15" t="s">
        <v>39</v>
      </c>
      <c r="AF204" s="15" t="s">
        <v>469</v>
      </c>
      <c r="AG204" s="69">
        <v>3.6371E8</v>
      </c>
      <c r="AH204" s="97" t="str">
        <f t="shared" si="128"/>
        <v>$250M-$500M</v>
      </c>
      <c r="AI204" s="69">
        <v>8.204E7</v>
      </c>
      <c r="AJ204" s="97" t="str">
        <f t="shared" si="129"/>
        <v>$50M-$100M</v>
      </c>
      <c r="AK204" s="167">
        <v>0.04</v>
      </c>
      <c r="AL204" s="88" t="str">
        <f t="shared" si="130"/>
        <v>0%-10%</v>
      </c>
      <c r="AM204" s="32">
        <v>6.0</v>
      </c>
      <c r="AN204" s="15" t="s">
        <v>89</v>
      </c>
      <c r="AO204" s="15" t="s">
        <v>89</v>
      </c>
      <c r="AP204" s="15" t="s">
        <v>40</v>
      </c>
      <c r="AQ204" s="168"/>
      <c r="AR204" s="168"/>
      <c r="AS204" s="15" t="s">
        <v>469</v>
      </c>
      <c r="AT204" s="15" t="s">
        <v>493</v>
      </c>
      <c r="AU204" s="15" t="s">
        <v>469</v>
      </c>
      <c r="AV204" s="15" t="s">
        <v>469</v>
      </c>
      <c r="AW204" s="69">
        <v>0.0</v>
      </c>
      <c r="AX204" s="96" t="str">
        <f t="shared" si="131"/>
        <v>&lt; $10K</v>
      </c>
      <c r="AY204" s="69">
        <v>171652.0</v>
      </c>
      <c r="AZ204" s="69">
        <v>6991019.0</v>
      </c>
      <c r="BA204" s="103" t="str">
        <f t="shared" si="132"/>
        <v>&gt; $5M</v>
      </c>
      <c r="BB204" s="103">
        <f t="shared" si="133"/>
        <v>0.02455321606</v>
      </c>
      <c r="BC204" s="103" t="str">
        <f t="shared" si="134"/>
        <v>&lt; 10%</v>
      </c>
      <c r="BD204" s="15" t="s">
        <v>41</v>
      </c>
      <c r="BE204" s="15" t="s">
        <v>108</v>
      </c>
      <c r="BF204" s="15" t="s">
        <v>469</v>
      </c>
      <c r="BG204" s="15">
        <v>0.0</v>
      </c>
      <c r="BH204" s="15">
        <v>2.0</v>
      </c>
      <c r="BI204" s="15" t="s">
        <v>493</v>
      </c>
      <c r="BJ204" s="15" t="s">
        <v>493</v>
      </c>
      <c r="BK204" s="15" t="s">
        <v>493</v>
      </c>
      <c r="BL204" s="15" t="s">
        <v>469</v>
      </c>
      <c r="BM204" s="15">
        <v>4.0</v>
      </c>
      <c r="BN204" s="15">
        <v>2.0</v>
      </c>
      <c r="BO204" s="15">
        <v>0.0</v>
      </c>
      <c r="BP204" s="15">
        <v>0.0</v>
      </c>
      <c r="BQ204" s="108"/>
      <c r="BR204" s="15">
        <v>17.0</v>
      </c>
      <c r="BS204" s="15">
        <v>0.0</v>
      </c>
      <c r="BT204" s="15">
        <v>0.0</v>
      </c>
      <c r="BU204" s="15">
        <v>48.0</v>
      </c>
      <c r="BV204" s="15" t="s">
        <v>469</v>
      </c>
      <c r="BW204" s="108"/>
      <c r="BX204" s="15">
        <v>0.0</v>
      </c>
      <c r="BY204" s="15">
        <v>1.0</v>
      </c>
      <c r="BZ204" s="15">
        <v>0.0</v>
      </c>
      <c r="CA204" s="15">
        <v>55.0</v>
      </c>
      <c r="CB204" s="15" t="s">
        <v>469</v>
      </c>
      <c r="CC204" s="108"/>
      <c r="CI204" s="108"/>
      <c r="CO204" s="108"/>
      <c r="CU204" s="108"/>
      <c r="DA204" s="108"/>
      <c r="DG204" s="108"/>
      <c r="DM204" s="108"/>
      <c r="DS204" s="108"/>
      <c r="DT204" s="108"/>
      <c r="DU204" s="108"/>
      <c r="DW204" s="109"/>
      <c r="DX204" s="110">
        <f t="shared" si="13"/>
        <v>8.5</v>
      </c>
      <c r="DY204" s="111">
        <f t="shared" ref="DY204:DZ204" si="467">sum(BS204,BY204,CE204,CK204,CQ204,CW204,DC204,DI204,DO204)</f>
        <v>1</v>
      </c>
      <c r="DZ204" s="111">
        <f t="shared" si="467"/>
        <v>0</v>
      </c>
      <c r="EA204" s="110">
        <f t="shared" si="15"/>
        <v>51.5</v>
      </c>
      <c r="EB204" s="99" t="str">
        <f t="shared" si="16"/>
        <v>35 - 54</v>
      </c>
      <c r="EC204" s="112"/>
      <c r="ED204" s="113">
        <f t="shared" si="17"/>
        <v>1.6</v>
      </c>
      <c r="EE204" s="114" t="str">
        <f>IF(V204 &lt;&gt; "", 1+((V204-MIN(discount_rates))*(4)/(MAX(discount_rates) - MIN(discount_rates))), "")</f>
        <v/>
      </c>
      <c r="EF204" s="114" t="str">
        <f>IF(Q204="Debt", (1+((S204-MIN(interest_rates))*(4)/(MAX(interest_rates) - MIN(interest_rates)))), "")</f>
        <v/>
      </c>
      <c r="EG204" s="114" t="str">
        <f>IF(OR(Q204="Revenue Share", Q204="Profit Share"), (1+((R204-MIN(return_mutiples))*(4)/(MAX(return_mutiples) - MIN(return_mutiples)))), "")</f>
        <v/>
      </c>
      <c r="EH204" s="115">
        <f t="shared" si="18"/>
        <v>1.6</v>
      </c>
      <c r="EI204" s="116" t="str">
        <f t="shared" si="19"/>
        <v>Equity - Preferred</v>
      </c>
      <c r="EJ204" s="117">
        <f t="shared" si="20"/>
        <v>0.06849315068</v>
      </c>
      <c r="EK204" s="116" t="str">
        <f t="shared" si="21"/>
        <v>Early</v>
      </c>
      <c r="EL204" s="112"/>
      <c r="EM204" s="118">
        <f t="shared" si="22"/>
        <v>1.6</v>
      </c>
      <c r="EN204" s="118">
        <f t="shared" si="23"/>
        <v>1.7</v>
      </c>
      <c r="EO204" s="119">
        <f t="shared" si="24"/>
        <v>3.3</v>
      </c>
      <c r="EP204" s="115">
        <f>1+((EO204-MIN(market_ratings_sums))*(4)/(MAX(market_ratings_sums) - MIN(market_ratings_sums)))</f>
        <v>1.421052632</v>
      </c>
      <c r="EQ204" s="116" t="str">
        <f t="shared" si="25"/>
        <v>No</v>
      </c>
      <c r="ER204" s="112"/>
      <c r="ES204" s="123">
        <f>1+((DX204-MIN(industry_experiences))*(4)/(MAX(industry_experiences) - MIN(industry_experiences)))</f>
        <v>1.80952381</v>
      </c>
      <c r="ET204" s="123">
        <f>1+((DY204-MIN(previous_startups))*(4)/(MAX(previous_startups) - MIN(previous_startups)))</f>
        <v>1.444444444</v>
      </c>
      <c r="EU204" s="123">
        <f>1+((DZ204-MIN(exits))*(4)/(MAX(exits) - MIN(exits)))</f>
        <v>1</v>
      </c>
      <c r="EV204" s="119">
        <f t="shared" si="26"/>
        <v>4.253968254</v>
      </c>
      <c r="EW204" s="124">
        <f>1+((EV204-MIN(team_ratings_sums))*(4)/(MAX(team_ratings_sums) - MIN(team_ratings_sums)))</f>
        <v>1.686956522</v>
      </c>
      <c r="EX204" s="116" t="str">
        <f t="shared" si="27"/>
        <v>35 - 54</v>
      </c>
      <c r="EY204" s="125">
        <f t="shared" si="28"/>
        <v>0.6849315068</v>
      </c>
      <c r="EZ204" s="116">
        <f t="shared" si="29"/>
        <v>2</v>
      </c>
      <c r="FA204" s="125">
        <f t="shared" si="30"/>
        <v>0.4520547945</v>
      </c>
      <c r="FB204" s="116">
        <f t="shared" si="31"/>
        <v>2</v>
      </c>
      <c r="FC204" s="125">
        <f t="shared" si="32"/>
        <v>0.1369863014</v>
      </c>
      <c r="FD204" s="116" t="str">
        <f t="shared" si="33"/>
        <v>Yes</v>
      </c>
      <c r="FE204" s="125">
        <f t="shared" si="34"/>
        <v>0.2465753425</v>
      </c>
      <c r="FF204" s="116" t="str">
        <f t="shared" ref="FF204:FH204" si="468">BJ204</f>
        <v>Yes</v>
      </c>
      <c r="FG204" s="116" t="str">
        <f t="shared" si="468"/>
        <v>Yes</v>
      </c>
      <c r="FH204" s="116" t="str">
        <f t="shared" si="468"/>
        <v>No</v>
      </c>
      <c r="FI204" s="112"/>
      <c r="FJ204" s="116" t="str">
        <f t="shared" si="36"/>
        <v>Transactional</v>
      </c>
      <c r="FK204" s="125">
        <f t="shared" si="37"/>
        <v>0.602739726</v>
      </c>
      <c r="FL204" s="116" t="str">
        <f t="shared" si="38"/>
        <v>B2B</v>
      </c>
      <c r="FM204" s="125">
        <f t="shared" si="39"/>
        <v>0.2465753425</v>
      </c>
      <c r="FN204" s="116" t="str">
        <f t="shared" si="40"/>
        <v>High</v>
      </c>
      <c r="FO204" s="125">
        <f t="shared" si="41"/>
        <v>0.5616438356</v>
      </c>
      <c r="FP204" s="116" t="str">
        <f t="shared" si="42"/>
        <v>High</v>
      </c>
      <c r="FQ204" s="125">
        <f t="shared" si="43"/>
        <v>0.6438356164</v>
      </c>
      <c r="FR204" s="112"/>
      <c r="FS204" s="123">
        <f t="shared" si="44"/>
        <v>1</v>
      </c>
      <c r="FT204" s="123">
        <f t="shared" si="45"/>
        <v>1</v>
      </c>
      <c r="FU204" s="123">
        <f t="shared" si="46"/>
        <v>5</v>
      </c>
      <c r="FV204" s="123">
        <f t="shared" si="47"/>
        <v>1</v>
      </c>
      <c r="FW204" s="119">
        <f t="shared" si="48"/>
        <v>8</v>
      </c>
      <c r="FX204" s="115">
        <f>1+((FW204-MIN(performance_ratings_sums))*(4)/(MAX(performance_ratings_sums) - MIN(performance_ratings_sums)))</f>
        <v>1.485981308</v>
      </c>
      <c r="FY204" s="116" t="str">
        <f t="shared" si="49"/>
        <v>Pre-Product</v>
      </c>
      <c r="FZ204" s="126">
        <f t="shared" si="50"/>
        <v>0.2328767123</v>
      </c>
      <c r="GA204" s="112"/>
      <c r="GB204" s="127">
        <f t="shared" si="51"/>
        <v>1</v>
      </c>
      <c r="GC204" s="116" t="str">
        <f t="shared" si="52"/>
        <v>Yes</v>
      </c>
      <c r="GD204" s="126">
        <f t="shared" si="53"/>
        <v>0.2328767123</v>
      </c>
      <c r="GE204" s="126" t="str">
        <f t="shared" si="54"/>
        <v/>
      </c>
      <c r="GF204" s="126">
        <f t="shared" si="55"/>
        <v>0</v>
      </c>
      <c r="GG204" s="126" t="str">
        <f t="shared" si="56"/>
        <v/>
      </c>
      <c r="GH204" s="126">
        <f t="shared" si="57"/>
        <v>0</v>
      </c>
      <c r="GI204" s="112"/>
      <c r="GJ204" s="116"/>
      <c r="GK204" s="119">
        <f t="shared" si="58"/>
        <v>7.193990462</v>
      </c>
      <c r="GL204" s="128">
        <f>1+((GK204-MIN(ratings_sums))*(4)/(MAX(ratings_sums) - MIN(ratings_sums)))</f>
        <v>1</v>
      </c>
    </row>
    <row r="205" ht="15.75" customHeight="1">
      <c r="A205" s="161" t="s">
        <v>1128</v>
      </c>
      <c r="B205" s="15">
        <v>1790092.0</v>
      </c>
      <c r="C205" s="162" t="s">
        <v>1410</v>
      </c>
      <c r="D205" s="209">
        <v>43817.44930555556</v>
      </c>
      <c r="E205" s="15" t="s">
        <v>369</v>
      </c>
      <c r="F205" s="164" t="s">
        <v>1411</v>
      </c>
      <c r="G205" s="164" t="s">
        <v>1412</v>
      </c>
      <c r="H205" s="173">
        <v>43817.0</v>
      </c>
      <c r="I205" s="162" t="s">
        <v>1413</v>
      </c>
      <c r="J205" s="162" t="s">
        <v>1410</v>
      </c>
      <c r="K205" s="15" t="s">
        <v>490</v>
      </c>
      <c r="L205" s="15" t="s">
        <v>362</v>
      </c>
      <c r="M205" s="15" t="s">
        <v>81</v>
      </c>
      <c r="N205" s="15" t="s">
        <v>101</v>
      </c>
      <c r="O205" s="15" t="s">
        <v>35</v>
      </c>
      <c r="Q205" s="15" t="s">
        <v>195</v>
      </c>
      <c r="R205" s="166"/>
      <c r="S205" s="120"/>
      <c r="T205" s="69"/>
      <c r="U205" s="69">
        <v>1.2E7</v>
      </c>
      <c r="V205" s="132">
        <v>0.2</v>
      </c>
      <c r="W205" s="96">
        <f t="shared" si="125"/>
        <v>9600000</v>
      </c>
      <c r="X205" s="98">
        <f t="shared" si="126"/>
        <v>9600000</v>
      </c>
      <c r="Y205" s="99" t="str">
        <f t="shared" si="127"/>
        <v>$8M - $10M</v>
      </c>
      <c r="Z205" s="15" t="s">
        <v>86</v>
      </c>
      <c r="AA205" s="15" t="s">
        <v>123</v>
      </c>
      <c r="AB205" s="15" t="s">
        <v>38</v>
      </c>
      <c r="AC205" s="15" t="s">
        <v>493</v>
      </c>
      <c r="AD205" s="15" t="s">
        <v>39</v>
      </c>
      <c r="AE205" s="15" t="s">
        <v>89</v>
      </c>
      <c r="AF205" s="15" t="s">
        <v>493</v>
      </c>
      <c r="AG205" s="69">
        <v>4.41E9</v>
      </c>
      <c r="AH205" s="97" t="str">
        <f t="shared" si="128"/>
        <v>$1B-$5B</v>
      </c>
      <c r="AI205" s="69">
        <v>4.41E9</v>
      </c>
      <c r="AJ205" s="97" t="str">
        <f t="shared" si="129"/>
        <v>$1B-$5B</v>
      </c>
      <c r="AK205" s="167">
        <v>0.08</v>
      </c>
      <c r="AL205" s="88" t="str">
        <f t="shared" si="130"/>
        <v>0%-10%</v>
      </c>
      <c r="AM205" s="32">
        <v>5.0</v>
      </c>
      <c r="AN205" s="15" t="s">
        <v>39</v>
      </c>
      <c r="AO205" s="15" t="s">
        <v>89</v>
      </c>
      <c r="AP205" s="15" t="s">
        <v>90</v>
      </c>
      <c r="AQ205" s="168"/>
      <c r="AR205" s="168"/>
      <c r="AS205" s="15" t="s">
        <v>493</v>
      </c>
      <c r="AT205" s="15" t="s">
        <v>493</v>
      </c>
      <c r="AU205" s="15" t="s">
        <v>493</v>
      </c>
      <c r="AV205" s="15" t="s">
        <v>493</v>
      </c>
      <c r="AW205" s="69">
        <v>321616.0</v>
      </c>
      <c r="AX205" s="96" t="str">
        <f t="shared" si="131"/>
        <v>$100K - $500K</v>
      </c>
      <c r="AY205" s="69">
        <v>13815.0</v>
      </c>
      <c r="AZ205" s="69">
        <v>870000.0</v>
      </c>
      <c r="BA205" s="103" t="str">
        <f t="shared" si="132"/>
        <v>$500K - $1M</v>
      </c>
      <c r="BB205" s="103">
        <f t="shared" si="133"/>
        <v>0.01587931034</v>
      </c>
      <c r="BC205" s="103" t="str">
        <f t="shared" si="134"/>
        <v>&lt; 10%</v>
      </c>
      <c r="BD205" s="15" t="s">
        <v>107</v>
      </c>
      <c r="BF205" s="15" t="s">
        <v>493</v>
      </c>
      <c r="BG205" s="15">
        <v>47.0</v>
      </c>
      <c r="BH205" s="15">
        <v>2.0</v>
      </c>
      <c r="BI205" s="15" t="s">
        <v>493</v>
      </c>
      <c r="BJ205" s="15" t="s">
        <v>469</v>
      </c>
      <c r="BK205" s="15" t="s">
        <v>493</v>
      </c>
      <c r="BL205" s="15" t="s">
        <v>469</v>
      </c>
      <c r="BM205" s="15">
        <v>4.0</v>
      </c>
      <c r="BN205" s="15">
        <v>12.0</v>
      </c>
      <c r="BO205" s="15">
        <v>4.0</v>
      </c>
      <c r="BP205" s="15">
        <v>0.0</v>
      </c>
      <c r="BQ205" s="108"/>
      <c r="BR205" s="15">
        <v>9.0</v>
      </c>
      <c r="BS205" s="15">
        <v>0.0</v>
      </c>
      <c r="BT205" s="15">
        <v>0.0</v>
      </c>
      <c r="BU205" s="15">
        <v>29.0</v>
      </c>
      <c r="BV205" s="15" t="s">
        <v>469</v>
      </c>
      <c r="BW205" s="108"/>
      <c r="BX205" s="15">
        <v>6.0</v>
      </c>
      <c r="BY205" s="15">
        <v>1.0</v>
      </c>
      <c r="BZ205" s="15">
        <v>0.0</v>
      </c>
      <c r="CA205" s="15">
        <v>44.0</v>
      </c>
      <c r="CB205" s="15" t="s">
        <v>493</v>
      </c>
      <c r="CC205" s="108"/>
      <c r="CI205" s="108"/>
      <c r="CO205" s="108"/>
      <c r="CU205" s="108"/>
      <c r="DA205" s="108"/>
      <c r="DG205" s="108"/>
      <c r="DM205" s="108"/>
      <c r="DS205" s="108"/>
      <c r="DT205" s="108"/>
      <c r="DU205" s="108"/>
      <c r="DW205" s="109"/>
      <c r="DX205" s="110">
        <f t="shared" si="13"/>
        <v>7.5</v>
      </c>
      <c r="DY205" s="111">
        <f t="shared" ref="DY205:DZ205" si="469">sum(BS205,BY205,CE205,CK205,CQ205,CW205,DC205,DI205,DO205)</f>
        <v>1</v>
      </c>
      <c r="DZ205" s="111">
        <f t="shared" si="469"/>
        <v>0</v>
      </c>
      <c r="EA205" s="110">
        <f t="shared" si="15"/>
        <v>36.5</v>
      </c>
      <c r="EB205" s="99" t="str">
        <f t="shared" si="16"/>
        <v>35 - 54</v>
      </c>
      <c r="EC205" s="112"/>
      <c r="ED205" s="113">
        <f t="shared" si="17"/>
        <v>4</v>
      </c>
      <c r="EE205" s="114">
        <f>IF(V205 &lt;&gt; "", 1+((V205-MIN(discount_rates))*(4)/(MAX(discount_rates) - MIN(discount_rates))), "")</f>
        <v>3.105263158</v>
      </c>
      <c r="EF205" s="114" t="str">
        <f>IF(Q205="Debt", (1+((S205-MIN(interest_rates))*(4)/(MAX(interest_rates) - MIN(interest_rates)))), "")</f>
        <v/>
      </c>
      <c r="EG205" s="114" t="str">
        <f>IF(OR(Q205="Revenue Share", Q205="Profit Share"), (1+((R205-MIN(return_mutiples))*(4)/(MAX(return_mutiples) - MIN(return_mutiples)))), "")</f>
        <v/>
      </c>
      <c r="EH205" s="115">
        <f t="shared" si="18"/>
        <v>4</v>
      </c>
      <c r="EI205" s="116" t="str">
        <f t="shared" si="19"/>
        <v>SAFE</v>
      </c>
      <c r="EJ205" s="117">
        <f t="shared" si="20"/>
        <v>0.3561643836</v>
      </c>
      <c r="EK205" s="116" t="str">
        <f t="shared" si="21"/>
        <v>Growth</v>
      </c>
      <c r="EL205" s="112"/>
      <c r="EM205" s="118">
        <f t="shared" si="22"/>
        <v>2.7</v>
      </c>
      <c r="EN205" s="118">
        <f t="shared" si="23"/>
        <v>1.7</v>
      </c>
      <c r="EO205" s="119">
        <f t="shared" si="24"/>
        <v>4.4</v>
      </c>
      <c r="EP205" s="115">
        <f>1+((EO205-MIN(market_ratings_sums))*(4)/(MAX(market_ratings_sums) - MIN(market_ratings_sums)))</f>
        <v>2.192982456</v>
      </c>
      <c r="EQ205" s="116" t="str">
        <f t="shared" si="25"/>
        <v>Yes</v>
      </c>
      <c r="ER205" s="112"/>
      <c r="ES205" s="123">
        <f>1+((DX205-MIN(industry_experiences))*(4)/(MAX(industry_experiences) - MIN(industry_experiences)))</f>
        <v>1.714285714</v>
      </c>
      <c r="ET205" s="123">
        <f>1+((DY205-MIN(previous_startups))*(4)/(MAX(previous_startups) - MIN(previous_startups)))</f>
        <v>1.444444444</v>
      </c>
      <c r="EU205" s="123">
        <f>1+((DZ205-MIN(exits))*(4)/(MAX(exits) - MIN(exits)))</f>
        <v>1</v>
      </c>
      <c r="EV205" s="119">
        <f t="shared" si="26"/>
        <v>4.158730159</v>
      </c>
      <c r="EW205" s="124">
        <f>1+((EV205-MIN(team_ratings_sums))*(4)/(MAX(team_ratings_sums) - MIN(team_ratings_sums)))</f>
        <v>1.634782609</v>
      </c>
      <c r="EX205" s="116" t="str">
        <f t="shared" si="27"/>
        <v>35 - 54</v>
      </c>
      <c r="EY205" s="125">
        <f t="shared" si="28"/>
        <v>0.6849315068</v>
      </c>
      <c r="EZ205" s="116">
        <f t="shared" si="29"/>
        <v>2</v>
      </c>
      <c r="FA205" s="125">
        <f t="shared" si="30"/>
        <v>0.4520547945</v>
      </c>
      <c r="FB205" s="116">
        <f t="shared" si="31"/>
        <v>12</v>
      </c>
      <c r="FC205" s="125">
        <f t="shared" si="32"/>
        <v>0.01369863014</v>
      </c>
      <c r="FD205" s="116" t="str">
        <f t="shared" si="33"/>
        <v>Yes</v>
      </c>
      <c r="FE205" s="125">
        <f t="shared" si="34"/>
        <v>0.2465753425</v>
      </c>
      <c r="FF205" s="116" t="str">
        <f t="shared" ref="FF205:FH205" si="470">BJ205</f>
        <v>No</v>
      </c>
      <c r="FG205" s="116" t="str">
        <f t="shared" si="470"/>
        <v>Yes</v>
      </c>
      <c r="FH205" s="116" t="str">
        <f t="shared" si="470"/>
        <v>No</v>
      </c>
      <c r="FI205" s="112"/>
      <c r="FJ205" s="116" t="str">
        <f t="shared" si="36"/>
        <v>Recurring</v>
      </c>
      <c r="FK205" s="125">
        <f t="shared" si="37"/>
        <v>0.397260274</v>
      </c>
      <c r="FL205" s="116" t="str">
        <f t="shared" si="38"/>
        <v>B2B/B2C</v>
      </c>
      <c r="FM205" s="125">
        <f t="shared" si="39"/>
        <v>0.3287671233</v>
      </c>
      <c r="FN205" s="116" t="str">
        <f t="shared" si="40"/>
        <v>High</v>
      </c>
      <c r="FO205" s="125">
        <f t="shared" si="41"/>
        <v>0.5616438356</v>
      </c>
      <c r="FP205" s="116" t="str">
        <f t="shared" si="42"/>
        <v>Low</v>
      </c>
      <c r="FQ205" s="125">
        <f t="shared" si="43"/>
        <v>0.3561643836</v>
      </c>
      <c r="FR205" s="112"/>
      <c r="FS205" s="123">
        <f t="shared" si="44"/>
        <v>5</v>
      </c>
      <c r="FT205" s="123">
        <f t="shared" si="45"/>
        <v>2.3</v>
      </c>
      <c r="FU205" s="123">
        <f t="shared" si="46"/>
        <v>5</v>
      </c>
      <c r="FV205" s="123">
        <f t="shared" si="47"/>
        <v>3.2</v>
      </c>
      <c r="FW205" s="119">
        <f t="shared" si="48"/>
        <v>15.5</v>
      </c>
      <c r="FX205" s="115">
        <f>1+((FW205-MIN(performance_ratings_sums))*(4)/(MAX(performance_ratings_sums) - MIN(performance_ratings_sums)))</f>
        <v>4.289719626</v>
      </c>
      <c r="FY205" s="116" t="str">
        <f t="shared" si="49"/>
        <v>Pre-Profit</v>
      </c>
      <c r="FZ205" s="126">
        <f t="shared" si="50"/>
        <v>0.4931506849</v>
      </c>
      <c r="GA205" s="112"/>
      <c r="GB205" s="127">
        <f t="shared" si="51"/>
        <v>3</v>
      </c>
      <c r="GC205" s="116" t="str">
        <f t="shared" si="52"/>
        <v>Yes</v>
      </c>
      <c r="GD205" s="126">
        <f t="shared" si="53"/>
        <v>0.2328767123</v>
      </c>
      <c r="GE205" s="126" t="str">
        <f t="shared" si="54"/>
        <v/>
      </c>
      <c r="GF205" s="126">
        <f t="shared" si="55"/>
        <v>0</v>
      </c>
      <c r="GG205" s="126" t="str">
        <f t="shared" si="56"/>
        <v/>
      </c>
      <c r="GH205" s="126">
        <f t="shared" si="57"/>
        <v>0</v>
      </c>
      <c r="GI205" s="112"/>
      <c r="GJ205" s="116"/>
      <c r="GK205" s="119">
        <f t="shared" si="58"/>
        <v>15.11748469</v>
      </c>
      <c r="GL205" s="128">
        <f>1+((GK205-MIN(ratings_sums))*(4)/(MAX(ratings_sums) - MIN(ratings_sums)))</f>
        <v>3.431244711</v>
      </c>
    </row>
    <row r="206" ht="15.75" customHeight="1">
      <c r="A206" s="161" t="s">
        <v>1128</v>
      </c>
      <c r="B206" s="15">
        <v>1791683.0</v>
      </c>
      <c r="C206" s="162" t="s">
        <v>1414</v>
      </c>
      <c r="D206" s="209">
        <v>43817.45763888889</v>
      </c>
      <c r="E206" s="15" t="s">
        <v>381</v>
      </c>
      <c r="F206" s="164" t="s">
        <v>1415</v>
      </c>
      <c r="G206" s="164" t="s">
        <v>1416</v>
      </c>
      <c r="H206" s="173">
        <v>43881.0</v>
      </c>
      <c r="I206" s="162" t="s">
        <v>1417</v>
      </c>
      <c r="J206" s="162" t="s">
        <v>1414</v>
      </c>
      <c r="K206" s="15" t="s">
        <v>549</v>
      </c>
      <c r="L206" s="15" t="s">
        <v>390</v>
      </c>
      <c r="M206" s="15" t="s">
        <v>31</v>
      </c>
      <c r="N206" s="15" t="s">
        <v>82</v>
      </c>
      <c r="O206" s="15" t="s">
        <v>35</v>
      </c>
      <c r="Q206" s="15" t="s">
        <v>121</v>
      </c>
      <c r="R206" s="166"/>
      <c r="S206" s="120"/>
      <c r="T206" s="69">
        <v>4500000.0</v>
      </c>
      <c r="U206" s="69"/>
      <c r="V206" s="132"/>
      <c r="W206" s="96" t="str">
        <f t="shared" si="125"/>
        <v/>
      </c>
      <c r="X206" s="98">
        <f t="shared" si="126"/>
        <v>4500000</v>
      </c>
      <c r="Y206" s="99" t="str">
        <f t="shared" si="127"/>
        <v>$4M - $6M</v>
      </c>
      <c r="Z206" s="15" t="s">
        <v>36</v>
      </c>
      <c r="AA206" s="15" t="s">
        <v>123</v>
      </c>
      <c r="AB206" s="15" t="s">
        <v>38</v>
      </c>
      <c r="AC206" s="15" t="s">
        <v>493</v>
      </c>
      <c r="AD206" s="15" t="s">
        <v>89</v>
      </c>
      <c r="AE206" s="15" t="s">
        <v>89</v>
      </c>
      <c r="AF206" s="15" t="s">
        <v>469</v>
      </c>
      <c r="AG206" s="69">
        <v>1.142E11</v>
      </c>
      <c r="AH206" s="97" t="str">
        <f t="shared" si="128"/>
        <v>$100B-$250B</v>
      </c>
      <c r="AI206" s="69">
        <v>2.76E10</v>
      </c>
      <c r="AJ206" s="97" t="str">
        <f t="shared" si="129"/>
        <v>$25B-$50B</v>
      </c>
      <c r="AK206" s="167">
        <v>0.03</v>
      </c>
      <c r="AL206" s="88" t="str">
        <f t="shared" si="130"/>
        <v>0%-10%</v>
      </c>
      <c r="AM206" s="32">
        <v>7450.0</v>
      </c>
      <c r="AN206" s="15" t="s">
        <v>89</v>
      </c>
      <c r="AO206" s="15" t="s">
        <v>89</v>
      </c>
      <c r="AP206" s="15" t="s">
        <v>40</v>
      </c>
      <c r="AQ206" s="168"/>
      <c r="AR206" s="168"/>
      <c r="AS206" s="15" t="s">
        <v>469</v>
      </c>
      <c r="AT206" s="15" t="s">
        <v>469</v>
      </c>
      <c r="AU206" s="15" t="s">
        <v>493</v>
      </c>
      <c r="AV206" s="15" t="s">
        <v>493</v>
      </c>
      <c r="AW206" s="69">
        <v>75633.0</v>
      </c>
      <c r="AX206" s="96" t="str">
        <f t="shared" si="131"/>
        <v>$50K - $100K</v>
      </c>
      <c r="AY206" s="69">
        <v>4850.0</v>
      </c>
      <c r="AZ206" s="69">
        <v>240655.0</v>
      </c>
      <c r="BA206" s="103" t="str">
        <f t="shared" si="132"/>
        <v>$100K - $500K</v>
      </c>
      <c r="BB206" s="103">
        <f t="shared" si="133"/>
        <v>0.02015333153</v>
      </c>
      <c r="BC206" s="103" t="str">
        <f t="shared" si="134"/>
        <v>&lt; 10%</v>
      </c>
      <c r="BD206" s="15" t="s">
        <v>107</v>
      </c>
      <c r="BF206" s="15" t="s">
        <v>469</v>
      </c>
      <c r="BG206" s="15">
        <v>0.0</v>
      </c>
      <c r="BH206" s="15">
        <v>1.0</v>
      </c>
      <c r="BI206" s="15" t="s">
        <v>493</v>
      </c>
      <c r="BJ206" s="15" t="s">
        <v>469</v>
      </c>
      <c r="BK206" s="15" t="s">
        <v>469</v>
      </c>
      <c r="BL206" s="15" t="s">
        <v>469</v>
      </c>
      <c r="BM206" s="15">
        <v>0.0</v>
      </c>
      <c r="BN206" s="15">
        <v>7.0</v>
      </c>
      <c r="BO206" s="15">
        <v>0.0</v>
      </c>
      <c r="BP206" s="15">
        <v>0.0</v>
      </c>
      <c r="BQ206" s="108"/>
      <c r="BR206" s="15">
        <v>7.0</v>
      </c>
      <c r="BS206" s="15">
        <v>0.0</v>
      </c>
      <c r="BT206" s="15">
        <v>0.0</v>
      </c>
      <c r="BU206" s="15">
        <v>44.0</v>
      </c>
      <c r="BV206" s="15" t="s">
        <v>469</v>
      </c>
      <c r="BW206" s="108"/>
      <c r="CC206" s="108"/>
      <c r="CI206" s="108"/>
      <c r="CO206" s="108"/>
      <c r="CU206" s="108"/>
      <c r="DA206" s="108"/>
      <c r="DG206" s="108"/>
      <c r="DM206" s="108"/>
      <c r="DS206" s="108"/>
      <c r="DT206" s="108"/>
      <c r="DU206" s="108"/>
      <c r="DW206" s="109"/>
      <c r="DX206" s="110">
        <f t="shared" si="13"/>
        <v>7</v>
      </c>
      <c r="DY206" s="111">
        <f t="shared" ref="DY206:DZ206" si="471">sum(BS206,BY206,CE206,CK206,CQ206,CW206,DC206,DI206,DO206)</f>
        <v>0</v>
      </c>
      <c r="DZ206" s="111">
        <f t="shared" si="471"/>
        <v>0</v>
      </c>
      <c r="EA206" s="110">
        <f t="shared" si="15"/>
        <v>44</v>
      </c>
      <c r="EB206" s="99" t="str">
        <f t="shared" si="16"/>
        <v>35 - 54</v>
      </c>
      <c r="EC206" s="112"/>
      <c r="ED206" s="113">
        <f t="shared" si="17"/>
        <v>4.4</v>
      </c>
      <c r="EE206" s="114" t="str">
        <f>IF(V206 &lt;&gt; "", 1+((V206-MIN(discount_rates))*(4)/(MAX(discount_rates) - MIN(discount_rates))), "")</f>
        <v/>
      </c>
      <c r="EF206" s="114" t="str">
        <f>IF(Q206="Debt", (1+((S206-MIN(interest_rates))*(4)/(MAX(interest_rates) - MIN(interest_rates)))), "")</f>
        <v/>
      </c>
      <c r="EG206" s="114" t="str">
        <f>IF(OR(Q206="Revenue Share", Q206="Profit Share"), (1+((R206-MIN(return_mutiples))*(4)/(MAX(return_mutiples) - MIN(return_mutiples)))), "")</f>
        <v/>
      </c>
      <c r="EH206" s="115">
        <f t="shared" si="18"/>
        <v>4.4</v>
      </c>
      <c r="EI206" s="116" t="str">
        <f t="shared" si="19"/>
        <v>Equity - Common</v>
      </c>
      <c r="EJ206" s="117">
        <f t="shared" si="20"/>
        <v>0.3287671233</v>
      </c>
      <c r="EK206" s="116" t="str">
        <f t="shared" si="21"/>
        <v>Early</v>
      </c>
      <c r="EL206" s="112"/>
      <c r="EM206" s="118">
        <f t="shared" si="22"/>
        <v>3.6</v>
      </c>
      <c r="EN206" s="118">
        <f t="shared" si="23"/>
        <v>1.7</v>
      </c>
      <c r="EO206" s="119">
        <f t="shared" si="24"/>
        <v>5.3</v>
      </c>
      <c r="EP206" s="115">
        <f>1+((EO206-MIN(market_ratings_sums))*(4)/(MAX(market_ratings_sums) - MIN(market_ratings_sums)))</f>
        <v>2.824561404</v>
      </c>
      <c r="EQ206" s="116" t="str">
        <f t="shared" si="25"/>
        <v>No</v>
      </c>
      <c r="ER206" s="112"/>
      <c r="ES206" s="123">
        <f>1+((DX206-MIN(industry_experiences))*(4)/(MAX(industry_experiences) - MIN(industry_experiences)))</f>
        <v>1.666666667</v>
      </c>
      <c r="ET206" s="123">
        <f>1+((DY206-MIN(previous_startups))*(4)/(MAX(previous_startups) - MIN(previous_startups)))</f>
        <v>1</v>
      </c>
      <c r="EU206" s="123">
        <f>1+((DZ206-MIN(exits))*(4)/(MAX(exits) - MIN(exits)))</f>
        <v>1</v>
      </c>
      <c r="EV206" s="119">
        <f t="shared" si="26"/>
        <v>3.666666667</v>
      </c>
      <c r="EW206" s="124">
        <f>1+((EV206-MIN(team_ratings_sums))*(4)/(MAX(team_ratings_sums) - MIN(team_ratings_sums)))</f>
        <v>1.365217391</v>
      </c>
      <c r="EX206" s="116" t="str">
        <f t="shared" si="27"/>
        <v>35 - 54</v>
      </c>
      <c r="EY206" s="125">
        <f t="shared" si="28"/>
        <v>0.6849315068</v>
      </c>
      <c r="EZ206" s="116">
        <f t="shared" si="29"/>
        <v>1</v>
      </c>
      <c r="FA206" s="125">
        <f t="shared" si="30"/>
        <v>0.4383561644</v>
      </c>
      <c r="FB206" s="116">
        <f t="shared" si="31"/>
        <v>7</v>
      </c>
      <c r="FC206" s="125">
        <f t="shared" si="32"/>
        <v>0.04109589041</v>
      </c>
      <c r="FD206" s="116" t="str">
        <f t="shared" si="33"/>
        <v>Yes</v>
      </c>
      <c r="FE206" s="125">
        <f t="shared" si="34"/>
        <v>0.2465753425</v>
      </c>
      <c r="FF206" s="116" t="str">
        <f t="shared" ref="FF206:FH206" si="472">BJ206</f>
        <v>No</v>
      </c>
      <c r="FG206" s="116" t="str">
        <f t="shared" si="472"/>
        <v>No</v>
      </c>
      <c r="FH206" s="116" t="str">
        <f t="shared" si="472"/>
        <v>No</v>
      </c>
      <c r="FI206" s="112"/>
      <c r="FJ206" s="116" t="str">
        <f t="shared" si="36"/>
        <v>Transactional</v>
      </c>
      <c r="FK206" s="125">
        <f t="shared" si="37"/>
        <v>0.602739726</v>
      </c>
      <c r="FL206" s="116" t="str">
        <f t="shared" si="38"/>
        <v>B2B/B2C</v>
      </c>
      <c r="FM206" s="125">
        <f t="shared" si="39"/>
        <v>0.3287671233</v>
      </c>
      <c r="FN206" s="116" t="str">
        <f t="shared" si="40"/>
        <v>Low</v>
      </c>
      <c r="FO206" s="125">
        <f t="shared" si="41"/>
        <v>0.4383561644</v>
      </c>
      <c r="FP206" s="116" t="str">
        <f t="shared" si="42"/>
        <v>Low</v>
      </c>
      <c r="FQ206" s="125">
        <f t="shared" si="43"/>
        <v>0.3561643836</v>
      </c>
      <c r="FR206" s="112"/>
      <c r="FS206" s="123">
        <f t="shared" si="44"/>
        <v>5</v>
      </c>
      <c r="FT206" s="123">
        <f t="shared" si="45"/>
        <v>1.9</v>
      </c>
      <c r="FU206" s="123">
        <f t="shared" si="46"/>
        <v>5</v>
      </c>
      <c r="FV206" s="123">
        <f t="shared" si="47"/>
        <v>3.7</v>
      </c>
      <c r="FW206" s="119">
        <f t="shared" si="48"/>
        <v>15.6</v>
      </c>
      <c r="FX206" s="115">
        <f>1+((FW206-MIN(performance_ratings_sums))*(4)/(MAX(performance_ratings_sums) - MIN(performance_ratings_sums)))</f>
        <v>4.327102804</v>
      </c>
      <c r="FY206" s="116" t="str">
        <f t="shared" si="49"/>
        <v>Pre-Profit</v>
      </c>
      <c r="FZ206" s="126">
        <f t="shared" si="50"/>
        <v>0.4931506849</v>
      </c>
      <c r="GA206" s="112"/>
      <c r="GB206" s="127">
        <f t="shared" si="51"/>
        <v>1</v>
      </c>
      <c r="GC206" s="116" t="str">
        <f t="shared" si="52"/>
        <v>No</v>
      </c>
      <c r="GD206" s="126">
        <f t="shared" si="53"/>
        <v>0.7671232877</v>
      </c>
      <c r="GE206" s="126" t="str">
        <f t="shared" si="54"/>
        <v/>
      </c>
      <c r="GF206" s="126">
        <f t="shared" si="55"/>
        <v>0</v>
      </c>
      <c r="GG206" s="126" t="str">
        <f t="shared" si="56"/>
        <v/>
      </c>
      <c r="GH206" s="126">
        <f t="shared" si="57"/>
        <v>0</v>
      </c>
      <c r="GI206" s="112"/>
      <c r="GJ206" s="116"/>
      <c r="GK206" s="119">
        <f t="shared" si="58"/>
        <v>13.9168816</v>
      </c>
      <c r="GL206" s="128">
        <f>1+((GK206-MIN(ratings_sums))*(4)/(MAX(ratings_sums) - MIN(ratings_sums)))</f>
        <v>3.062851698</v>
      </c>
    </row>
    <row r="207" ht="15.75" customHeight="1">
      <c r="A207" s="161" t="s">
        <v>1128</v>
      </c>
      <c r="B207" s="15">
        <v>1662905.0</v>
      </c>
      <c r="C207" s="162" t="s">
        <v>1418</v>
      </c>
      <c r="D207" s="209">
        <v>43817.46111111111</v>
      </c>
      <c r="E207" s="15" t="s">
        <v>381</v>
      </c>
      <c r="F207" s="164" t="s">
        <v>1419</v>
      </c>
      <c r="G207" s="164" t="s">
        <v>1420</v>
      </c>
      <c r="H207" s="210">
        <v>43816.0</v>
      </c>
      <c r="I207" s="162" t="s">
        <v>1421</v>
      </c>
      <c r="J207" s="162" t="s">
        <v>1418</v>
      </c>
      <c r="K207" s="15" t="s">
        <v>438</v>
      </c>
      <c r="L207" s="15" t="s">
        <v>390</v>
      </c>
      <c r="M207" s="15" t="s">
        <v>31</v>
      </c>
      <c r="N207" s="15" t="s">
        <v>82</v>
      </c>
      <c r="O207" s="15" t="s">
        <v>35</v>
      </c>
      <c r="Q207" s="15" t="s">
        <v>121</v>
      </c>
      <c r="R207" s="166"/>
      <c r="S207" s="120"/>
      <c r="T207" s="69">
        <v>7500000.0</v>
      </c>
      <c r="U207" s="69"/>
      <c r="V207" s="132"/>
      <c r="W207" s="96" t="str">
        <f t="shared" si="125"/>
        <v/>
      </c>
      <c r="X207" s="98">
        <f t="shared" si="126"/>
        <v>7500000</v>
      </c>
      <c r="Y207" s="99" t="str">
        <f t="shared" si="127"/>
        <v>$6M - $8M</v>
      </c>
      <c r="Z207" s="15" t="s">
        <v>36</v>
      </c>
      <c r="AA207" s="15" t="s">
        <v>123</v>
      </c>
      <c r="AB207" s="15" t="s">
        <v>38</v>
      </c>
      <c r="AC207" s="15" t="s">
        <v>493</v>
      </c>
      <c r="AD207" s="15" t="s">
        <v>89</v>
      </c>
      <c r="AE207" s="15" t="s">
        <v>89</v>
      </c>
      <c r="AF207" s="15" t="s">
        <v>469</v>
      </c>
      <c r="AG207" s="69">
        <v>3.21E9</v>
      </c>
      <c r="AH207" s="97" t="str">
        <f t="shared" si="128"/>
        <v>$1B-$5B</v>
      </c>
      <c r="AI207" s="69">
        <v>3.21E9</v>
      </c>
      <c r="AJ207" s="97" t="str">
        <f t="shared" si="129"/>
        <v>$1B-$5B</v>
      </c>
      <c r="AK207" s="167">
        <v>0.03</v>
      </c>
      <c r="AL207" s="88" t="str">
        <f t="shared" si="130"/>
        <v>0%-10%</v>
      </c>
      <c r="AM207" s="15">
        <v>9.0</v>
      </c>
      <c r="AN207" s="15" t="s">
        <v>39</v>
      </c>
      <c r="AO207" s="15" t="s">
        <v>89</v>
      </c>
      <c r="AP207" s="15" t="s">
        <v>90</v>
      </c>
      <c r="AQ207" s="168"/>
      <c r="AR207" s="168"/>
      <c r="AS207" s="15" t="s">
        <v>469</v>
      </c>
      <c r="AT207" s="15" t="s">
        <v>493</v>
      </c>
      <c r="AU207" s="15" t="s">
        <v>493</v>
      </c>
      <c r="AV207" s="15" t="s">
        <v>493</v>
      </c>
      <c r="AW207" s="69">
        <v>300244.0</v>
      </c>
      <c r="AX207" s="96" t="str">
        <f t="shared" si="131"/>
        <v>$100K - $500K</v>
      </c>
      <c r="AY207" s="69">
        <v>2778.0</v>
      </c>
      <c r="AZ207" s="69">
        <v>224685.0</v>
      </c>
      <c r="BA207" s="103" t="str">
        <f t="shared" si="132"/>
        <v>$100K - $500K</v>
      </c>
      <c r="BB207" s="103">
        <f t="shared" si="133"/>
        <v>0.01236397623</v>
      </c>
      <c r="BC207" s="103" t="str">
        <f t="shared" si="134"/>
        <v>&lt; 10%</v>
      </c>
      <c r="BD207" s="15" t="s">
        <v>107</v>
      </c>
      <c r="BF207" s="15" t="s">
        <v>493</v>
      </c>
      <c r="BG207" s="15">
        <v>0.0</v>
      </c>
      <c r="BH207" s="15">
        <v>1.0</v>
      </c>
      <c r="BI207" s="15" t="s">
        <v>493</v>
      </c>
      <c r="BJ207" s="15" t="s">
        <v>469</v>
      </c>
      <c r="BK207" s="15" t="s">
        <v>469</v>
      </c>
      <c r="BL207" s="15" t="s">
        <v>469</v>
      </c>
      <c r="BM207" s="15">
        <v>2.0</v>
      </c>
      <c r="BN207" s="15">
        <v>1.0</v>
      </c>
      <c r="BO207" s="15">
        <v>4.0</v>
      </c>
      <c r="BP207" s="15">
        <v>0.0</v>
      </c>
      <c r="BQ207" s="108"/>
      <c r="BR207" s="15">
        <v>7.0</v>
      </c>
      <c r="BS207" s="15">
        <v>0.0</v>
      </c>
      <c r="BT207" s="15">
        <v>0.0</v>
      </c>
      <c r="BU207" s="15">
        <v>36.0</v>
      </c>
      <c r="BV207" s="15" t="s">
        <v>469</v>
      </c>
      <c r="BW207" s="108"/>
      <c r="CC207" s="108"/>
      <c r="CI207" s="108"/>
      <c r="CO207" s="108"/>
      <c r="CU207" s="108"/>
      <c r="DA207" s="108"/>
      <c r="DG207" s="108"/>
      <c r="DM207" s="108"/>
      <c r="DS207" s="108"/>
      <c r="DT207" s="108"/>
      <c r="DU207" s="108"/>
      <c r="DW207" s="109"/>
      <c r="DX207" s="110">
        <f t="shared" si="13"/>
        <v>7</v>
      </c>
      <c r="DY207" s="111">
        <f t="shared" ref="DY207:DZ207" si="473">sum(BS207,BY207,CE207,CK207,CQ207,CW207,DC207,DI207,DO207)</f>
        <v>0</v>
      </c>
      <c r="DZ207" s="111">
        <f t="shared" si="473"/>
        <v>0</v>
      </c>
      <c r="EA207" s="110">
        <f t="shared" si="15"/>
        <v>36</v>
      </c>
      <c r="EB207" s="99" t="str">
        <f t="shared" si="16"/>
        <v>35 - 54</v>
      </c>
      <c r="EC207" s="112"/>
      <c r="ED207" s="113">
        <f t="shared" si="17"/>
        <v>4.2</v>
      </c>
      <c r="EE207" s="114" t="str">
        <f>IF(V207 &lt;&gt; "", 1+((V207-MIN(discount_rates))*(4)/(MAX(discount_rates) - MIN(discount_rates))), "")</f>
        <v/>
      </c>
      <c r="EF207" s="114" t="str">
        <f>IF(Q207="Debt", (1+((S207-MIN(interest_rates))*(4)/(MAX(interest_rates) - MIN(interest_rates)))), "")</f>
        <v/>
      </c>
      <c r="EG207" s="114" t="str">
        <f>IF(OR(Q207="Revenue Share", Q207="Profit Share"), (1+((R207-MIN(return_mutiples))*(4)/(MAX(return_mutiples) - MIN(return_mutiples)))), "")</f>
        <v/>
      </c>
      <c r="EH207" s="115">
        <f t="shared" si="18"/>
        <v>4.2</v>
      </c>
      <c r="EI207" s="116" t="str">
        <f t="shared" si="19"/>
        <v>Equity - Common</v>
      </c>
      <c r="EJ207" s="117">
        <f t="shared" si="20"/>
        <v>0.3287671233</v>
      </c>
      <c r="EK207" s="116" t="str">
        <f t="shared" si="21"/>
        <v>Early</v>
      </c>
      <c r="EL207" s="112"/>
      <c r="EM207" s="118">
        <f t="shared" si="22"/>
        <v>2.7</v>
      </c>
      <c r="EN207" s="118">
        <f t="shared" si="23"/>
        <v>1.7</v>
      </c>
      <c r="EO207" s="119">
        <f t="shared" si="24"/>
        <v>4.4</v>
      </c>
      <c r="EP207" s="115">
        <f>1+((EO207-MIN(market_ratings_sums))*(4)/(MAX(market_ratings_sums) - MIN(market_ratings_sums)))</f>
        <v>2.192982456</v>
      </c>
      <c r="EQ207" s="116" t="str">
        <f t="shared" si="25"/>
        <v>No</v>
      </c>
      <c r="ER207" s="112"/>
      <c r="ES207" s="123">
        <f>1+((DX207-MIN(industry_experiences))*(4)/(MAX(industry_experiences) - MIN(industry_experiences)))</f>
        <v>1.666666667</v>
      </c>
      <c r="ET207" s="123">
        <f>1+((DY207-MIN(previous_startups))*(4)/(MAX(previous_startups) - MIN(previous_startups)))</f>
        <v>1</v>
      </c>
      <c r="EU207" s="123">
        <f>1+((DZ207-MIN(exits))*(4)/(MAX(exits) - MIN(exits)))</f>
        <v>1</v>
      </c>
      <c r="EV207" s="119">
        <f t="shared" si="26"/>
        <v>3.666666667</v>
      </c>
      <c r="EW207" s="124">
        <f>1+((EV207-MIN(team_ratings_sums))*(4)/(MAX(team_ratings_sums) - MIN(team_ratings_sums)))</f>
        <v>1.365217391</v>
      </c>
      <c r="EX207" s="116" t="str">
        <f t="shared" si="27"/>
        <v>35 - 54</v>
      </c>
      <c r="EY207" s="125">
        <f t="shared" si="28"/>
        <v>0.6849315068</v>
      </c>
      <c r="EZ207" s="116">
        <f t="shared" si="29"/>
        <v>1</v>
      </c>
      <c r="FA207" s="125">
        <f t="shared" si="30"/>
        <v>0.4383561644</v>
      </c>
      <c r="FB207" s="116">
        <f t="shared" si="31"/>
        <v>1</v>
      </c>
      <c r="FC207" s="125">
        <f t="shared" si="32"/>
        <v>0.08219178082</v>
      </c>
      <c r="FD207" s="116" t="str">
        <f t="shared" si="33"/>
        <v>Yes</v>
      </c>
      <c r="FE207" s="125">
        <f t="shared" si="34"/>
        <v>0.2465753425</v>
      </c>
      <c r="FF207" s="116" t="str">
        <f t="shared" ref="FF207:FH207" si="474">BJ207</f>
        <v>No</v>
      </c>
      <c r="FG207" s="116" t="str">
        <f t="shared" si="474"/>
        <v>No</v>
      </c>
      <c r="FH207" s="116" t="str">
        <f t="shared" si="474"/>
        <v>No</v>
      </c>
      <c r="FI207" s="112"/>
      <c r="FJ207" s="116" t="str">
        <f t="shared" si="36"/>
        <v>Transactional</v>
      </c>
      <c r="FK207" s="125">
        <f t="shared" si="37"/>
        <v>0.602739726</v>
      </c>
      <c r="FL207" s="116" t="str">
        <f t="shared" si="38"/>
        <v>B2B/B2C</v>
      </c>
      <c r="FM207" s="125">
        <f t="shared" si="39"/>
        <v>0.3287671233</v>
      </c>
      <c r="FN207" s="116" t="str">
        <f t="shared" si="40"/>
        <v>Low</v>
      </c>
      <c r="FO207" s="125">
        <f t="shared" si="41"/>
        <v>0.4383561644</v>
      </c>
      <c r="FP207" s="116" t="str">
        <f t="shared" si="42"/>
        <v>Low</v>
      </c>
      <c r="FQ207" s="125">
        <f t="shared" si="43"/>
        <v>0.3561643836</v>
      </c>
      <c r="FR207" s="112"/>
      <c r="FS207" s="123">
        <f t="shared" si="44"/>
        <v>5</v>
      </c>
      <c r="FT207" s="123">
        <f t="shared" si="45"/>
        <v>2.3</v>
      </c>
      <c r="FU207" s="123">
        <f t="shared" si="46"/>
        <v>5</v>
      </c>
      <c r="FV207" s="123">
        <f t="shared" si="47"/>
        <v>3.7</v>
      </c>
      <c r="FW207" s="119">
        <f t="shared" si="48"/>
        <v>16</v>
      </c>
      <c r="FX207" s="115">
        <f>1+((FW207-MIN(performance_ratings_sums))*(4)/(MAX(performance_ratings_sums) - MIN(performance_ratings_sums)))</f>
        <v>4.476635514</v>
      </c>
      <c r="FY207" s="116" t="str">
        <f t="shared" si="49"/>
        <v>Pre-Profit</v>
      </c>
      <c r="FZ207" s="126">
        <f t="shared" si="50"/>
        <v>0.4931506849</v>
      </c>
      <c r="GA207" s="112"/>
      <c r="GB207" s="127">
        <f t="shared" si="51"/>
        <v>3</v>
      </c>
      <c r="GC207" s="116" t="str">
        <f t="shared" si="52"/>
        <v>Yes</v>
      </c>
      <c r="GD207" s="126">
        <f t="shared" si="53"/>
        <v>0.2328767123</v>
      </c>
      <c r="GE207" s="126" t="str">
        <f t="shared" si="54"/>
        <v/>
      </c>
      <c r="GF207" s="126">
        <f t="shared" si="55"/>
        <v>0</v>
      </c>
      <c r="GG207" s="126" t="str">
        <f t="shared" si="56"/>
        <v/>
      </c>
      <c r="GH207" s="126">
        <f t="shared" si="57"/>
        <v>0</v>
      </c>
      <c r="GI207" s="112"/>
      <c r="GJ207" s="116"/>
      <c r="GK207" s="119">
        <f t="shared" si="58"/>
        <v>15.23483536</v>
      </c>
      <c r="GL207" s="128">
        <f>1+((GK207-MIN(ratings_sums))*(4)/(MAX(ratings_sums) - MIN(ratings_sums)))</f>
        <v>3.467252587</v>
      </c>
    </row>
    <row r="208" ht="15.75" customHeight="1">
      <c r="A208" s="161" t="s">
        <v>1128</v>
      </c>
      <c r="B208" s="15">
        <v>1709628.0</v>
      </c>
      <c r="C208" s="162" t="s">
        <v>1422</v>
      </c>
      <c r="D208" s="209">
        <v>43817.46875</v>
      </c>
      <c r="E208" s="15" t="s">
        <v>392</v>
      </c>
      <c r="F208" s="164" t="s">
        <v>1423</v>
      </c>
      <c r="G208" s="164" t="s">
        <v>1424</v>
      </c>
      <c r="H208" s="210">
        <v>43768.0</v>
      </c>
      <c r="I208" s="162" t="s">
        <v>1425</v>
      </c>
      <c r="J208" s="162" t="s">
        <v>1422</v>
      </c>
      <c r="K208" s="15" t="s">
        <v>389</v>
      </c>
      <c r="L208" s="15" t="s">
        <v>167</v>
      </c>
      <c r="M208" s="15" t="s">
        <v>31</v>
      </c>
      <c r="N208" s="15" t="s">
        <v>101</v>
      </c>
      <c r="O208" s="15" t="s">
        <v>35</v>
      </c>
      <c r="Q208" s="15" t="s">
        <v>195</v>
      </c>
      <c r="R208" s="166"/>
      <c r="S208" s="120"/>
      <c r="T208" s="69"/>
      <c r="U208" s="69">
        <v>1.0E7</v>
      </c>
      <c r="V208" s="132">
        <v>0.2</v>
      </c>
      <c r="W208" s="96">
        <f t="shared" si="125"/>
        <v>8000000</v>
      </c>
      <c r="X208" s="98">
        <f t="shared" si="126"/>
        <v>8000000</v>
      </c>
      <c r="Y208" s="99" t="str">
        <f t="shared" si="127"/>
        <v>$6M - $8M</v>
      </c>
      <c r="Z208" s="15" t="s">
        <v>86</v>
      </c>
      <c r="AA208" s="15" t="s">
        <v>37</v>
      </c>
      <c r="AB208" s="15" t="s">
        <v>88</v>
      </c>
      <c r="AC208" s="15" t="s">
        <v>493</v>
      </c>
      <c r="AD208" s="15" t="s">
        <v>39</v>
      </c>
      <c r="AE208" s="15" t="s">
        <v>89</v>
      </c>
      <c r="AF208" s="15" t="s">
        <v>493</v>
      </c>
      <c r="AG208" s="69">
        <v>2.557E10</v>
      </c>
      <c r="AH208" s="97" t="str">
        <f t="shared" si="128"/>
        <v>$25B-$50B</v>
      </c>
      <c r="AI208" s="69">
        <v>2.557E10</v>
      </c>
      <c r="AJ208" s="97" t="str">
        <f t="shared" si="129"/>
        <v>$25B-$50B</v>
      </c>
      <c r="AK208" s="167">
        <v>0.12</v>
      </c>
      <c r="AL208" s="88" t="str">
        <f t="shared" si="130"/>
        <v>10%-20%</v>
      </c>
      <c r="AM208" s="15">
        <v>41.0</v>
      </c>
      <c r="AN208" s="15" t="s">
        <v>89</v>
      </c>
      <c r="AO208" s="15" t="s">
        <v>89</v>
      </c>
      <c r="AP208" s="15" t="s">
        <v>40</v>
      </c>
      <c r="AQ208" s="168"/>
      <c r="AR208" s="168"/>
      <c r="AS208" s="15" t="s">
        <v>469</v>
      </c>
      <c r="AT208" s="15" t="s">
        <v>469</v>
      </c>
      <c r="AU208" s="15" t="s">
        <v>493</v>
      </c>
      <c r="AV208" s="15" t="s">
        <v>493</v>
      </c>
      <c r="AW208" s="69">
        <v>130000.0</v>
      </c>
      <c r="AX208" s="96" t="str">
        <f t="shared" si="131"/>
        <v>$100K - $500K</v>
      </c>
      <c r="AY208" s="69">
        <v>69750.0</v>
      </c>
      <c r="AZ208" s="69">
        <v>2396006.0</v>
      </c>
      <c r="BA208" s="103" t="str">
        <f t="shared" si="132"/>
        <v>$2M - $3M</v>
      </c>
      <c r="BB208" s="103">
        <f t="shared" si="133"/>
        <v>0.02911094547</v>
      </c>
      <c r="BC208" s="103" t="str">
        <f t="shared" si="134"/>
        <v>&lt; 10%</v>
      </c>
      <c r="BD208" s="15" t="s">
        <v>107</v>
      </c>
      <c r="BF208" s="15" t="s">
        <v>493</v>
      </c>
      <c r="BG208" s="15">
        <v>2.0</v>
      </c>
      <c r="BH208" s="15">
        <v>1.0</v>
      </c>
      <c r="BI208" s="15" t="s">
        <v>493</v>
      </c>
      <c r="BJ208" s="15" t="s">
        <v>469</v>
      </c>
      <c r="BK208" s="15" t="s">
        <v>469</v>
      </c>
      <c r="BL208" s="15" t="s">
        <v>469</v>
      </c>
      <c r="BM208" s="15">
        <v>2.0</v>
      </c>
      <c r="BN208" s="15">
        <v>2.0</v>
      </c>
      <c r="BO208" s="15">
        <v>0.0</v>
      </c>
      <c r="BP208" s="15">
        <v>0.0</v>
      </c>
      <c r="BQ208" s="108"/>
      <c r="BR208" s="15">
        <v>22.0</v>
      </c>
      <c r="BS208" s="15">
        <v>2.0</v>
      </c>
      <c r="BT208" s="15">
        <v>1.0</v>
      </c>
      <c r="BU208" s="15">
        <v>52.0</v>
      </c>
      <c r="BV208" s="15" t="s">
        <v>493</v>
      </c>
      <c r="BW208" s="108"/>
      <c r="CC208" s="108"/>
      <c r="CI208" s="108"/>
      <c r="CO208" s="108"/>
      <c r="CU208" s="108"/>
      <c r="DA208" s="108"/>
      <c r="DG208" s="108"/>
      <c r="DM208" s="108"/>
      <c r="DS208" s="108"/>
      <c r="DT208" s="108"/>
      <c r="DU208" s="108"/>
      <c r="DW208" s="109"/>
      <c r="DX208" s="110">
        <f t="shared" si="13"/>
        <v>22</v>
      </c>
      <c r="DY208" s="111">
        <f t="shared" ref="DY208:DZ208" si="475">sum(BS208,BY208,CE208,CK208,CQ208,CW208,DC208,DI208,DO208)</f>
        <v>2</v>
      </c>
      <c r="DZ208" s="111">
        <f t="shared" si="475"/>
        <v>1</v>
      </c>
      <c r="EA208" s="110">
        <f t="shared" si="15"/>
        <v>52</v>
      </c>
      <c r="EB208" s="99" t="str">
        <f t="shared" si="16"/>
        <v>35 - 54</v>
      </c>
      <c r="EC208" s="112"/>
      <c r="ED208" s="113">
        <f t="shared" si="17"/>
        <v>4.2</v>
      </c>
      <c r="EE208" s="114">
        <f>IF(V208 &lt;&gt; "", 1+((V208-MIN(discount_rates))*(4)/(MAX(discount_rates) - MIN(discount_rates))), "")</f>
        <v>3.105263158</v>
      </c>
      <c r="EF208" s="114" t="str">
        <f>IF(Q208="Debt", (1+((S208-MIN(interest_rates))*(4)/(MAX(interest_rates) - MIN(interest_rates)))), "")</f>
        <v/>
      </c>
      <c r="EG208" s="114" t="str">
        <f>IF(OR(Q208="Revenue Share", Q208="Profit Share"), (1+((R208-MIN(return_mutiples))*(4)/(MAX(return_mutiples) - MIN(return_mutiples)))), "")</f>
        <v/>
      </c>
      <c r="EH208" s="115">
        <f t="shared" si="18"/>
        <v>4.2</v>
      </c>
      <c r="EI208" s="116" t="str">
        <f t="shared" si="19"/>
        <v>SAFE</v>
      </c>
      <c r="EJ208" s="117">
        <f t="shared" si="20"/>
        <v>0.3561643836</v>
      </c>
      <c r="EK208" s="116" t="str">
        <f t="shared" si="21"/>
        <v>Early</v>
      </c>
      <c r="EL208" s="112"/>
      <c r="EM208" s="118">
        <f t="shared" si="22"/>
        <v>3.6</v>
      </c>
      <c r="EN208" s="118">
        <f t="shared" si="23"/>
        <v>2.3</v>
      </c>
      <c r="EO208" s="119">
        <f t="shared" si="24"/>
        <v>5.9</v>
      </c>
      <c r="EP208" s="115">
        <f>1+((EO208-MIN(market_ratings_sums))*(4)/(MAX(market_ratings_sums) - MIN(market_ratings_sums)))</f>
        <v>3.245614035</v>
      </c>
      <c r="EQ208" s="116" t="str">
        <f t="shared" si="25"/>
        <v>No</v>
      </c>
      <c r="ER208" s="112"/>
      <c r="ES208" s="123">
        <f>1+((DX208-MIN(industry_experiences))*(4)/(MAX(industry_experiences) - MIN(industry_experiences)))</f>
        <v>3.095238095</v>
      </c>
      <c r="ET208" s="123">
        <f>1+((DY208-MIN(previous_startups))*(4)/(MAX(previous_startups) - MIN(previous_startups)))</f>
        <v>1.888888889</v>
      </c>
      <c r="EU208" s="123">
        <f>1+((DZ208-MIN(exits))*(4)/(MAX(exits) - MIN(exits)))</f>
        <v>2</v>
      </c>
      <c r="EV208" s="119">
        <f t="shared" si="26"/>
        <v>6.984126984</v>
      </c>
      <c r="EW208" s="124">
        <f>1+((EV208-MIN(team_ratings_sums))*(4)/(MAX(team_ratings_sums) - MIN(team_ratings_sums)))</f>
        <v>3.182608696</v>
      </c>
      <c r="EX208" s="116" t="str">
        <f t="shared" si="27"/>
        <v>35 - 54</v>
      </c>
      <c r="EY208" s="125">
        <f t="shared" si="28"/>
        <v>0.6849315068</v>
      </c>
      <c r="EZ208" s="116">
        <f t="shared" si="29"/>
        <v>1</v>
      </c>
      <c r="FA208" s="125">
        <f t="shared" si="30"/>
        <v>0.4383561644</v>
      </c>
      <c r="FB208" s="116">
        <f t="shared" si="31"/>
        <v>2</v>
      </c>
      <c r="FC208" s="125">
        <f t="shared" si="32"/>
        <v>0.1369863014</v>
      </c>
      <c r="FD208" s="116" t="str">
        <f t="shared" si="33"/>
        <v>Yes</v>
      </c>
      <c r="FE208" s="125">
        <f t="shared" si="34"/>
        <v>0.2465753425</v>
      </c>
      <c r="FF208" s="116" t="str">
        <f t="shared" ref="FF208:FH208" si="476">BJ208</f>
        <v>No</v>
      </c>
      <c r="FG208" s="116" t="str">
        <f t="shared" si="476"/>
        <v>No</v>
      </c>
      <c r="FH208" s="116" t="str">
        <f t="shared" si="476"/>
        <v>No</v>
      </c>
      <c r="FI208" s="112"/>
      <c r="FJ208" s="116" t="str">
        <f t="shared" si="36"/>
        <v>Recurring</v>
      </c>
      <c r="FK208" s="125">
        <f t="shared" si="37"/>
        <v>0.397260274</v>
      </c>
      <c r="FL208" s="116" t="str">
        <f t="shared" si="38"/>
        <v>B2B</v>
      </c>
      <c r="FM208" s="125">
        <f t="shared" si="39"/>
        <v>0.2465753425</v>
      </c>
      <c r="FN208" s="116" t="str">
        <f t="shared" si="40"/>
        <v>High</v>
      </c>
      <c r="FO208" s="125">
        <f t="shared" si="41"/>
        <v>0.5616438356</v>
      </c>
      <c r="FP208" s="116" t="str">
        <f t="shared" si="42"/>
        <v>Low</v>
      </c>
      <c r="FQ208" s="125">
        <f t="shared" si="43"/>
        <v>0.3561643836</v>
      </c>
      <c r="FR208" s="112"/>
      <c r="FS208" s="123">
        <f t="shared" si="44"/>
        <v>5</v>
      </c>
      <c r="FT208" s="123">
        <f t="shared" si="45"/>
        <v>2.3</v>
      </c>
      <c r="FU208" s="123">
        <f t="shared" si="46"/>
        <v>5</v>
      </c>
      <c r="FV208" s="123">
        <f t="shared" si="47"/>
        <v>2.3</v>
      </c>
      <c r="FW208" s="119">
        <f t="shared" si="48"/>
        <v>14.6</v>
      </c>
      <c r="FX208" s="115">
        <f>1+((FW208-MIN(performance_ratings_sums))*(4)/(MAX(performance_ratings_sums) - MIN(performance_ratings_sums)))</f>
        <v>3.953271028</v>
      </c>
      <c r="FY208" s="116" t="str">
        <f t="shared" si="49"/>
        <v>Pre-Profit</v>
      </c>
      <c r="FZ208" s="126">
        <f t="shared" si="50"/>
        <v>0.4931506849</v>
      </c>
      <c r="GA208" s="112"/>
      <c r="GB208" s="127">
        <f t="shared" si="51"/>
        <v>1</v>
      </c>
      <c r="GC208" s="116" t="str">
        <f t="shared" si="52"/>
        <v>No</v>
      </c>
      <c r="GD208" s="126">
        <f t="shared" si="53"/>
        <v>0.7671232877</v>
      </c>
      <c r="GE208" s="126" t="str">
        <f t="shared" si="54"/>
        <v/>
      </c>
      <c r="GF208" s="126">
        <f t="shared" si="55"/>
        <v>0</v>
      </c>
      <c r="GG208" s="126" t="str">
        <f t="shared" si="56"/>
        <v/>
      </c>
      <c r="GH208" s="126">
        <f t="shared" si="57"/>
        <v>0</v>
      </c>
      <c r="GI208" s="112"/>
      <c r="GJ208" s="116"/>
      <c r="GK208" s="119">
        <f t="shared" si="58"/>
        <v>15.58149376</v>
      </c>
      <c r="GL208" s="128">
        <f>1+((GK208-MIN(ratings_sums))*(4)/(MAX(ratings_sums) - MIN(ratings_sums)))</f>
        <v>3.573621239</v>
      </c>
    </row>
    <row r="209" ht="15.75" customHeight="1">
      <c r="A209" s="161" t="s">
        <v>1128</v>
      </c>
      <c r="B209" s="15">
        <v>1786194.0</v>
      </c>
      <c r="C209" s="162" t="s">
        <v>1426</v>
      </c>
      <c r="D209" s="163">
        <v>43818.495833333334</v>
      </c>
      <c r="E209" s="15" t="s">
        <v>381</v>
      </c>
      <c r="F209" s="164" t="s">
        <v>1427</v>
      </c>
      <c r="G209" s="164" t="s">
        <v>1428</v>
      </c>
      <c r="H209" s="210">
        <v>43829.0</v>
      </c>
      <c r="I209" s="162" t="s">
        <v>1429</v>
      </c>
      <c r="J209" s="162" t="s">
        <v>1426</v>
      </c>
      <c r="K209" s="15" t="s">
        <v>457</v>
      </c>
      <c r="L209" s="15" t="s">
        <v>323</v>
      </c>
      <c r="M209" s="15" t="s">
        <v>81</v>
      </c>
      <c r="N209" s="15" t="s">
        <v>101</v>
      </c>
      <c r="O209" s="15" t="s">
        <v>35</v>
      </c>
      <c r="Q209" s="15" t="s">
        <v>121</v>
      </c>
      <c r="R209" s="166"/>
      <c r="S209" s="120"/>
      <c r="T209" s="69">
        <v>1.4E7</v>
      </c>
      <c r="U209" s="69"/>
      <c r="V209" s="132"/>
      <c r="W209" s="96" t="str">
        <f t="shared" si="125"/>
        <v/>
      </c>
      <c r="X209" s="98">
        <f t="shared" si="126"/>
        <v>14000000</v>
      </c>
      <c r="Y209" s="99" t="str">
        <f t="shared" si="127"/>
        <v>$12M - $14M</v>
      </c>
      <c r="Z209" s="15" t="s">
        <v>36</v>
      </c>
      <c r="AA209" s="15" t="s">
        <v>123</v>
      </c>
      <c r="AB209" s="15" t="s">
        <v>38</v>
      </c>
      <c r="AC209" s="15" t="s">
        <v>493</v>
      </c>
      <c r="AD209" s="15" t="s">
        <v>89</v>
      </c>
      <c r="AE209" s="15" t="s">
        <v>89</v>
      </c>
      <c r="AF209" s="15" t="s">
        <v>469</v>
      </c>
      <c r="AG209" s="69">
        <v>1.74E9</v>
      </c>
      <c r="AH209" s="97" t="str">
        <f t="shared" si="128"/>
        <v>$1B-$5B</v>
      </c>
      <c r="AI209" s="69">
        <v>1.74E9</v>
      </c>
      <c r="AJ209" s="97" t="str">
        <f t="shared" si="129"/>
        <v>$1B-$5B</v>
      </c>
      <c r="AK209" s="167">
        <v>0.1</v>
      </c>
      <c r="AL209" s="88" t="str">
        <f t="shared" si="130"/>
        <v>0%-10%</v>
      </c>
      <c r="AM209" s="15">
        <v>15.0</v>
      </c>
      <c r="AN209" s="15" t="s">
        <v>39</v>
      </c>
      <c r="AO209" s="15" t="s">
        <v>89</v>
      </c>
      <c r="AP209" s="15" t="s">
        <v>40</v>
      </c>
      <c r="AQ209" s="168"/>
      <c r="AR209" s="168"/>
      <c r="AS209" s="15" t="s">
        <v>493</v>
      </c>
      <c r="AT209" s="15" t="s">
        <v>493</v>
      </c>
      <c r="AU209" s="15" t="s">
        <v>493</v>
      </c>
      <c r="AV209" s="15" t="s">
        <v>493</v>
      </c>
      <c r="AW209" s="69">
        <v>127134.0</v>
      </c>
      <c r="AX209" s="96" t="str">
        <f t="shared" si="131"/>
        <v>$100K - $500K</v>
      </c>
      <c r="AY209" s="69">
        <v>7033.0</v>
      </c>
      <c r="AZ209" s="69">
        <v>288392.0</v>
      </c>
      <c r="BA209" s="103" t="str">
        <f t="shared" si="132"/>
        <v>$100K - $500K</v>
      </c>
      <c r="BB209" s="103">
        <f t="shared" si="133"/>
        <v>0.02438694555</v>
      </c>
      <c r="BC209" s="103" t="str">
        <f t="shared" si="134"/>
        <v>&lt; 10%</v>
      </c>
      <c r="BD209" s="15" t="s">
        <v>107</v>
      </c>
      <c r="BF209" s="15" t="s">
        <v>493</v>
      </c>
      <c r="BG209" s="15">
        <v>0.0</v>
      </c>
      <c r="BH209" s="15">
        <v>1.0</v>
      </c>
      <c r="BI209" s="15" t="s">
        <v>493</v>
      </c>
      <c r="BJ209" s="15" t="s">
        <v>469</v>
      </c>
      <c r="BK209" s="15" t="s">
        <v>469</v>
      </c>
      <c r="BL209" s="15" t="s">
        <v>469</v>
      </c>
      <c r="BM209" s="15">
        <v>1.0</v>
      </c>
      <c r="BN209" s="15">
        <v>4.0</v>
      </c>
      <c r="BO209" s="15">
        <v>4.0</v>
      </c>
      <c r="BP209" s="15">
        <v>0.0</v>
      </c>
      <c r="BQ209" s="108"/>
      <c r="BR209" s="15">
        <v>6.0</v>
      </c>
      <c r="BS209" s="15">
        <v>1.0</v>
      </c>
      <c r="BT209" s="15">
        <v>1.0</v>
      </c>
      <c r="BU209" s="15">
        <v>58.0</v>
      </c>
      <c r="BV209" s="15" t="s">
        <v>469</v>
      </c>
      <c r="BW209" s="108"/>
      <c r="CC209" s="108"/>
      <c r="CI209" s="108"/>
      <c r="CO209" s="108"/>
      <c r="CU209" s="108"/>
      <c r="DA209" s="108"/>
      <c r="DG209" s="108"/>
      <c r="DM209" s="108"/>
      <c r="DS209" s="108"/>
      <c r="DT209" s="108"/>
      <c r="DU209" s="108"/>
      <c r="DW209" s="109"/>
      <c r="DX209" s="110">
        <f t="shared" si="13"/>
        <v>6</v>
      </c>
      <c r="DY209" s="111">
        <f t="shared" ref="DY209:DZ209" si="477">sum(BS209,BY209,CE209,CK209,CQ209,CW209,DC209,DI209,DO209)</f>
        <v>1</v>
      </c>
      <c r="DZ209" s="111">
        <f t="shared" si="477"/>
        <v>1</v>
      </c>
      <c r="EA209" s="110">
        <f t="shared" si="15"/>
        <v>58</v>
      </c>
      <c r="EB209" s="99" t="str">
        <f t="shared" si="16"/>
        <v>55+</v>
      </c>
      <c r="EC209" s="112"/>
      <c r="ED209" s="113">
        <f t="shared" si="17"/>
        <v>3.7</v>
      </c>
      <c r="EE209" s="114" t="str">
        <f>IF(V209 &lt;&gt; "", 1+((V209-MIN(discount_rates))*(4)/(MAX(discount_rates) - MIN(discount_rates))), "")</f>
        <v/>
      </c>
      <c r="EF209" s="114" t="str">
        <f>IF(Q209="Debt", (1+((S209-MIN(interest_rates))*(4)/(MAX(interest_rates) - MIN(interest_rates)))), "")</f>
        <v/>
      </c>
      <c r="EG209" s="114" t="str">
        <f>IF(OR(Q209="Revenue Share", Q209="Profit Share"), (1+((R209-MIN(return_mutiples))*(4)/(MAX(return_mutiples) - MIN(return_mutiples)))), "")</f>
        <v/>
      </c>
      <c r="EH209" s="115">
        <f t="shared" si="18"/>
        <v>3.7</v>
      </c>
      <c r="EI209" s="116" t="str">
        <f t="shared" si="19"/>
        <v>Equity - Common</v>
      </c>
      <c r="EJ209" s="117">
        <f t="shared" si="20"/>
        <v>0.3287671233</v>
      </c>
      <c r="EK209" s="116" t="str">
        <f t="shared" si="21"/>
        <v>Growth</v>
      </c>
      <c r="EL209" s="112"/>
      <c r="EM209" s="118">
        <f t="shared" si="22"/>
        <v>2.7</v>
      </c>
      <c r="EN209" s="118">
        <f t="shared" si="23"/>
        <v>1.7</v>
      </c>
      <c r="EO209" s="119">
        <f t="shared" si="24"/>
        <v>4.4</v>
      </c>
      <c r="EP209" s="115">
        <f>1+((EO209-MIN(market_ratings_sums))*(4)/(MAX(market_ratings_sums) - MIN(market_ratings_sums)))</f>
        <v>2.192982456</v>
      </c>
      <c r="EQ209" s="116" t="str">
        <f t="shared" si="25"/>
        <v>Yes</v>
      </c>
      <c r="ER209" s="112"/>
      <c r="ES209" s="123">
        <f>1+((DX209-MIN(industry_experiences))*(4)/(MAX(industry_experiences) - MIN(industry_experiences)))</f>
        <v>1.571428571</v>
      </c>
      <c r="ET209" s="123">
        <f>1+((DY209-MIN(previous_startups))*(4)/(MAX(previous_startups) - MIN(previous_startups)))</f>
        <v>1.444444444</v>
      </c>
      <c r="EU209" s="123">
        <f>1+((DZ209-MIN(exits))*(4)/(MAX(exits) - MIN(exits)))</f>
        <v>2</v>
      </c>
      <c r="EV209" s="119">
        <f t="shared" si="26"/>
        <v>5.015873016</v>
      </c>
      <c r="EW209" s="124">
        <f>1+((EV209-MIN(team_ratings_sums))*(4)/(MAX(team_ratings_sums) - MIN(team_ratings_sums)))</f>
        <v>2.104347826</v>
      </c>
      <c r="EX209" s="116" t="str">
        <f t="shared" si="27"/>
        <v>55+</v>
      </c>
      <c r="EY209" s="125">
        <f t="shared" si="28"/>
        <v>0.1095890411</v>
      </c>
      <c r="EZ209" s="116">
        <f t="shared" si="29"/>
        <v>1</v>
      </c>
      <c r="FA209" s="125">
        <f t="shared" si="30"/>
        <v>0.4383561644</v>
      </c>
      <c r="FB209" s="116">
        <f t="shared" si="31"/>
        <v>4</v>
      </c>
      <c r="FC209" s="125">
        <f t="shared" si="32"/>
        <v>0.1369863014</v>
      </c>
      <c r="FD209" s="116" t="str">
        <f t="shared" si="33"/>
        <v>Yes</v>
      </c>
      <c r="FE209" s="125">
        <f t="shared" si="34"/>
        <v>0.2465753425</v>
      </c>
      <c r="FF209" s="116" t="str">
        <f t="shared" ref="FF209:FH209" si="478">BJ209</f>
        <v>No</v>
      </c>
      <c r="FG209" s="116" t="str">
        <f t="shared" si="478"/>
        <v>No</v>
      </c>
      <c r="FH209" s="116" t="str">
        <f t="shared" si="478"/>
        <v>No</v>
      </c>
      <c r="FI209" s="112"/>
      <c r="FJ209" s="116" t="str">
        <f t="shared" si="36"/>
        <v>Transactional</v>
      </c>
      <c r="FK209" s="125">
        <f t="shared" si="37"/>
        <v>0.602739726</v>
      </c>
      <c r="FL209" s="116" t="str">
        <f t="shared" si="38"/>
        <v>B2B/B2C</v>
      </c>
      <c r="FM209" s="125">
        <f t="shared" si="39"/>
        <v>0.3287671233</v>
      </c>
      <c r="FN209" s="116" t="str">
        <f t="shared" si="40"/>
        <v>Low</v>
      </c>
      <c r="FO209" s="125">
        <f t="shared" si="41"/>
        <v>0.4383561644</v>
      </c>
      <c r="FP209" s="116" t="str">
        <f t="shared" si="42"/>
        <v>Low</v>
      </c>
      <c r="FQ209" s="125">
        <f t="shared" si="43"/>
        <v>0.3561643836</v>
      </c>
      <c r="FR209" s="112"/>
      <c r="FS209" s="123">
        <f t="shared" si="44"/>
        <v>5</v>
      </c>
      <c r="FT209" s="123">
        <f t="shared" si="45"/>
        <v>2.3</v>
      </c>
      <c r="FU209" s="123">
        <f t="shared" si="46"/>
        <v>5</v>
      </c>
      <c r="FV209" s="123">
        <f t="shared" si="47"/>
        <v>3.7</v>
      </c>
      <c r="FW209" s="119">
        <f t="shared" si="48"/>
        <v>16</v>
      </c>
      <c r="FX209" s="115">
        <f>1+((FW209-MIN(performance_ratings_sums))*(4)/(MAX(performance_ratings_sums) - MIN(performance_ratings_sums)))</f>
        <v>4.476635514</v>
      </c>
      <c r="FY209" s="116" t="str">
        <f t="shared" si="49"/>
        <v>Pre-Profit</v>
      </c>
      <c r="FZ209" s="126">
        <f t="shared" si="50"/>
        <v>0.4931506849</v>
      </c>
      <c r="GA209" s="112"/>
      <c r="GB209" s="127">
        <f t="shared" si="51"/>
        <v>3</v>
      </c>
      <c r="GC209" s="116" t="str">
        <f t="shared" si="52"/>
        <v>Yes</v>
      </c>
      <c r="GD209" s="126">
        <f t="shared" si="53"/>
        <v>0.2328767123</v>
      </c>
      <c r="GE209" s="126" t="str">
        <f t="shared" si="54"/>
        <v/>
      </c>
      <c r="GF209" s="126">
        <f t="shared" si="55"/>
        <v>0</v>
      </c>
      <c r="GG209" s="126" t="str">
        <f t="shared" si="56"/>
        <v/>
      </c>
      <c r="GH209" s="126">
        <f t="shared" si="57"/>
        <v>0</v>
      </c>
      <c r="GI209" s="112"/>
      <c r="GJ209" s="116"/>
      <c r="GK209" s="119">
        <f t="shared" si="58"/>
        <v>15.4739658</v>
      </c>
      <c r="GL209" s="128">
        <f>1+((GK209-MIN(ratings_sums))*(4)/(MAX(ratings_sums) - MIN(ratings_sums)))</f>
        <v>3.540627362</v>
      </c>
    </row>
    <row r="210" ht="15.75" customHeight="1">
      <c r="A210" s="161" t="s">
        <v>1128</v>
      </c>
      <c r="B210" s="15">
        <v>1790595.0</v>
      </c>
      <c r="C210" s="162" t="s">
        <v>1430</v>
      </c>
      <c r="D210" s="163">
        <v>43818.49791666667</v>
      </c>
      <c r="E210" s="15" t="s">
        <v>381</v>
      </c>
      <c r="F210" s="164" t="s">
        <v>1431</v>
      </c>
      <c r="G210" s="164" t="s">
        <v>1432</v>
      </c>
      <c r="H210" s="173">
        <v>43906.0</v>
      </c>
      <c r="I210" s="162" t="s">
        <v>1433</v>
      </c>
      <c r="J210" s="162" t="s">
        <v>1430</v>
      </c>
      <c r="K210" s="15" t="s">
        <v>549</v>
      </c>
      <c r="L210" s="15" t="s">
        <v>390</v>
      </c>
      <c r="M210" s="15" t="s">
        <v>31</v>
      </c>
      <c r="N210" s="15" t="s">
        <v>101</v>
      </c>
      <c r="O210" s="15" t="s">
        <v>35</v>
      </c>
      <c r="Q210" s="15" t="s">
        <v>121</v>
      </c>
      <c r="R210" s="166"/>
      <c r="S210" s="120"/>
      <c r="T210" s="69">
        <v>8000000.0</v>
      </c>
      <c r="U210" s="69"/>
      <c r="V210" s="132"/>
      <c r="W210" s="96" t="str">
        <f t="shared" si="125"/>
        <v/>
      </c>
      <c r="X210" s="98">
        <f t="shared" si="126"/>
        <v>8000000</v>
      </c>
      <c r="Y210" s="99" t="str">
        <f t="shared" si="127"/>
        <v>$6M - $8M</v>
      </c>
      <c r="Z210" s="15" t="s">
        <v>36</v>
      </c>
      <c r="AA210" s="15" t="s">
        <v>123</v>
      </c>
      <c r="AB210" s="15" t="s">
        <v>38</v>
      </c>
      <c r="AC210" s="15" t="s">
        <v>493</v>
      </c>
      <c r="AD210" s="15" t="s">
        <v>89</v>
      </c>
      <c r="AE210" s="15" t="s">
        <v>89</v>
      </c>
      <c r="AF210" s="15" t="s">
        <v>469</v>
      </c>
      <c r="AG210" s="69">
        <v>1.142E11</v>
      </c>
      <c r="AH210" s="97" t="str">
        <f t="shared" si="128"/>
        <v>$100B-$250B</v>
      </c>
      <c r="AI210" s="69">
        <v>2.76E10</v>
      </c>
      <c r="AJ210" s="97" t="str">
        <f t="shared" si="129"/>
        <v>$25B-$50B</v>
      </c>
      <c r="AK210" s="167">
        <v>0.03</v>
      </c>
      <c r="AL210" s="88" t="str">
        <f t="shared" si="130"/>
        <v>0%-10%</v>
      </c>
      <c r="AM210" s="32">
        <v>7450.0</v>
      </c>
      <c r="AN210" s="15" t="s">
        <v>89</v>
      </c>
      <c r="AO210" s="15" t="s">
        <v>89</v>
      </c>
      <c r="AP210" s="15" t="s">
        <v>40</v>
      </c>
      <c r="AQ210" s="168"/>
      <c r="AR210" s="168"/>
      <c r="AS210" s="15" t="s">
        <v>469</v>
      </c>
      <c r="AT210" s="15" t="s">
        <v>469</v>
      </c>
      <c r="AU210" s="15" t="s">
        <v>493</v>
      </c>
      <c r="AV210" s="15" t="s">
        <v>493</v>
      </c>
      <c r="AW210" s="69">
        <v>53553.0</v>
      </c>
      <c r="AX210" s="96" t="str">
        <f t="shared" si="131"/>
        <v>$50K - $100K</v>
      </c>
      <c r="AY210" s="69">
        <v>27516.0</v>
      </c>
      <c r="AZ210" s="69">
        <v>1921581.0</v>
      </c>
      <c r="BA210" s="103" t="str">
        <f t="shared" si="132"/>
        <v>$1M - $2M</v>
      </c>
      <c r="BB210" s="103">
        <f t="shared" si="133"/>
        <v>0.01431945882</v>
      </c>
      <c r="BC210" s="103" t="str">
        <f t="shared" si="134"/>
        <v>&lt; 10%</v>
      </c>
      <c r="BD210" s="15" t="s">
        <v>107</v>
      </c>
      <c r="BF210" s="15" t="s">
        <v>493</v>
      </c>
      <c r="BG210" s="15">
        <v>0.0</v>
      </c>
      <c r="BH210" s="15">
        <v>1.0</v>
      </c>
      <c r="BI210" s="15" t="s">
        <v>493</v>
      </c>
      <c r="BJ210" s="15" t="s">
        <v>469</v>
      </c>
      <c r="BK210" s="15" t="s">
        <v>469</v>
      </c>
      <c r="BL210" s="15" t="s">
        <v>469</v>
      </c>
      <c r="BM210" s="15">
        <v>2.0</v>
      </c>
      <c r="BN210" s="15">
        <v>1.0</v>
      </c>
      <c r="BO210" s="15">
        <v>1.0</v>
      </c>
      <c r="BP210" s="15">
        <v>0.0</v>
      </c>
      <c r="BQ210" s="108"/>
      <c r="BR210" s="15">
        <v>35.0</v>
      </c>
      <c r="BS210" s="15">
        <v>0.0</v>
      </c>
      <c r="BT210" s="15">
        <v>0.0</v>
      </c>
      <c r="BU210" s="15">
        <v>61.0</v>
      </c>
      <c r="BV210" s="15" t="s">
        <v>493</v>
      </c>
      <c r="BW210" s="108"/>
      <c r="CC210" s="108"/>
      <c r="CI210" s="108"/>
      <c r="CO210" s="108"/>
      <c r="CU210" s="108"/>
      <c r="DA210" s="108"/>
      <c r="DG210" s="108"/>
      <c r="DM210" s="108"/>
      <c r="DS210" s="108"/>
      <c r="DT210" s="108"/>
      <c r="DU210" s="108"/>
      <c r="DW210" s="109"/>
      <c r="DX210" s="110">
        <f t="shared" si="13"/>
        <v>35</v>
      </c>
      <c r="DY210" s="111">
        <f t="shared" ref="DY210:DZ210" si="479">sum(BS210,BY210,CE210,CK210,CQ210,CW210,DC210,DI210,DO210)</f>
        <v>0</v>
      </c>
      <c r="DZ210" s="111">
        <f t="shared" si="479"/>
        <v>0</v>
      </c>
      <c r="EA210" s="110">
        <f t="shared" si="15"/>
        <v>61</v>
      </c>
      <c r="EB210" s="99" t="str">
        <f t="shared" si="16"/>
        <v>55+</v>
      </c>
      <c r="EC210" s="112"/>
      <c r="ED210" s="113">
        <f t="shared" si="17"/>
        <v>4.2</v>
      </c>
      <c r="EE210" s="114" t="str">
        <f>IF(V210 &lt;&gt; "", 1+((V210-MIN(discount_rates))*(4)/(MAX(discount_rates) - MIN(discount_rates))), "")</f>
        <v/>
      </c>
      <c r="EF210" s="114" t="str">
        <f>IF(Q210="Debt", (1+((S210-MIN(interest_rates))*(4)/(MAX(interest_rates) - MIN(interest_rates)))), "")</f>
        <v/>
      </c>
      <c r="EG210" s="114" t="str">
        <f>IF(OR(Q210="Revenue Share", Q210="Profit Share"), (1+((R210-MIN(return_mutiples))*(4)/(MAX(return_mutiples) - MIN(return_mutiples)))), "")</f>
        <v/>
      </c>
      <c r="EH210" s="115">
        <f t="shared" si="18"/>
        <v>4.2</v>
      </c>
      <c r="EI210" s="116" t="str">
        <f t="shared" si="19"/>
        <v>Equity - Common</v>
      </c>
      <c r="EJ210" s="117">
        <f t="shared" si="20"/>
        <v>0.3287671233</v>
      </c>
      <c r="EK210" s="116" t="str">
        <f t="shared" si="21"/>
        <v>Early</v>
      </c>
      <c r="EL210" s="112"/>
      <c r="EM210" s="118">
        <f t="shared" si="22"/>
        <v>3.6</v>
      </c>
      <c r="EN210" s="118">
        <f t="shared" si="23"/>
        <v>1.7</v>
      </c>
      <c r="EO210" s="119">
        <f t="shared" si="24"/>
        <v>5.3</v>
      </c>
      <c r="EP210" s="115">
        <f>1+((EO210-MIN(market_ratings_sums))*(4)/(MAX(market_ratings_sums) - MIN(market_ratings_sums)))</f>
        <v>2.824561404</v>
      </c>
      <c r="EQ210" s="116" t="str">
        <f t="shared" si="25"/>
        <v>No</v>
      </c>
      <c r="ER210" s="112"/>
      <c r="ES210" s="123">
        <f>1+((DX210-MIN(industry_experiences))*(4)/(MAX(industry_experiences) - MIN(industry_experiences)))</f>
        <v>4.333333333</v>
      </c>
      <c r="ET210" s="123">
        <f>1+((DY210-MIN(previous_startups))*(4)/(MAX(previous_startups) - MIN(previous_startups)))</f>
        <v>1</v>
      </c>
      <c r="EU210" s="123">
        <f>1+((DZ210-MIN(exits))*(4)/(MAX(exits) - MIN(exits)))</f>
        <v>1</v>
      </c>
      <c r="EV210" s="119">
        <f t="shared" si="26"/>
        <v>6.333333333</v>
      </c>
      <c r="EW210" s="124">
        <f>1+((EV210-MIN(team_ratings_sums))*(4)/(MAX(team_ratings_sums) - MIN(team_ratings_sums)))</f>
        <v>2.826086957</v>
      </c>
      <c r="EX210" s="116" t="str">
        <f t="shared" si="27"/>
        <v>55+</v>
      </c>
      <c r="EY210" s="125">
        <f t="shared" si="28"/>
        <v>0.1095890411</v>
      </c>
      <c r="EZ210" s="116">
        <f t="shared" si="29"/>
        <v>1</v>
      </c>
      <c r="FA210" s="125">
        <f t="shared" si="30"/>
        <v>0.4383561644</v>
      </c>
      <c r="FB210" s="116">
        <f t="shared" si="31"/>
        <v>1</v>
      </c>
      <c r="FC210" s="125">
        <f t="shared" si="32"/>
        <v>0.08219178082</v>
      </c>
      <c r="FD210" s="116" t="str">
        <f t="shared" si="33"/>
        <v>Yes</v>
      </c>
      <c r="FE210" s="125">
        <f t="shared" si="34"/>
        <v>0.2465753425</v>
      </c>
      <c r="FF210" s="116" t="str">
        <f t="shared" ref="FF210:FH210" si="480">BJ210</f>
        <v>No</v>
      </c>
      <c r="FG210" s="116" t="str">
        <f t="shared" si="480"/>
        <v>No</v>
      </c>
      <c r="FH210" s="116" t="str">
        <f t="shared" si="480"/>
        <v>No</v>
      </c>
      <c r="FI210" s="112"/>
      <c r="FJ210" s="116" t="str">
        <f t="shared" si="36"/>
        <v>Transactional</v>
      </c>
      <c r="FK210" s="125">
        <f t="shared" si="37"/>
        <v>0.602739726</v>
      </c>
      <c r="FL210" s="116" t="str">
        <f t="shared" si="38"/>
        <v>B2B/B2C</v>
      </c>
      <c r="FM210" s="125">
        <f t="shared" si="39"/>
        <v>0.3287671233</v>
      </c>
      <c r="FN210" s="116" t="str">
        <f t="shared" si="40"/>
        <v>Low</v>
      </c>
      <c r="FO210" s="125">
        <f t="shared" si="41"/>
        <v>0.4383561644</v>
      </c>
      <c r="FP210" s="116" t="str">
        <f t="shared" si="42"/>
        <v>Low</v>
      </c>
      <c r="FQ210" s="125">
        <f t="shared" si="43"/>
        <v>0.3561643836</v>
      </c>
      <c r="FR210" s="112"/>
      <c r="FS210" s="123">
        <f t="shared" si="44"/>
        <v>5</v>
      </c>
      <c r="FT210" s="123">
        <f t="shared" si="45"/>
        <v>1.9</v>
      </c>
      <c r="FU210" s="123">
        <f t="shared" si="46"/>
        <v>5</v>
      </c>
      <c r="FV210" s="123">
        <f t="shared" si="47"/>
        <v>2.8</v>
      </c>
      <c r="FW210" s="119">
        <f t="shared" si="48"/>
        <v>14.7</v>
      </c>
      <c r="FX210" s="115">
        <f>1+((FW210-MIN(performance_ratings_sums))*(4)/(MAX(performance_ratings_sums) - MIN(performance_ratings_sums)))</f>
        <v>3.990654206</v>
      </c>
      <c r="FY210" s="116" t="str">
        <f t="shared" si="49"/>
        <v>Pre-Profit</v>
      </c>
      <c r="FZ210" s="126">
        <f t="shared" si="50"/>
        <v>0.4931506849</v>
      </c>
      <c r="GA210" s="112"/>
      <c r="GB210" s="127">
        <f t="shared" si="51"/>
        <v>1</v>
      </c>
      <c r="GC210" s="116" t="str">
        <f t="shared" si="52"/>
        <v>No</v>
      </c>
      <c r="GD210" s="126">
        <f t="shared" si="53"/>
        <v>0.7671232877</v>
      </c>
      <c r="GE210" s="126" t="str">
        <f t="shared" si="54"/>
        <v/>
      </c>
      <c r="GF210" s="126">
        <f t="shared" si="55"/>
        <v>0</v>
      </c>
      <c r="GG210" s="126" t="str">
        <f t="shared" si="56"/>
        <v/>
      </c>
      <c r="GH210" s="126">
        <f t="shared" si="57"/>
        <v>0</v>
      </c>
      <c r="GI210" s="112"/>
      <c r="GJ210" s="116"/>
      <c r="GK210" s="119">
        <f t="shared" si="58"/>
        <v>14.84130257</v>
      </c>
      <c r="GL210" s="128">
        <f>1+((GK210-MIN(ratings_sums))*(4)/(MAX(ratings_sums) - MIN(ratings_sums)))</f>
        <v>3.346500997</v>
      </c>
    </row>
    <row r="211" ht="15.75" customHeight="1">
      <c r="A211" s="161" t="s">
        <v>1128</v>
      </c>
      <c r="B211" s="15">
        <v>1716174.0</v>
      </c>
      <c r="C211" s="162" t="s">
        <v>1434</v>
      </c>
      <c r="D211" s="163">
        <v>43819.50277777778</v>
      </c>
      <c r="E211" s="15" t="s">
        <v>381</v>
      </c>
      <c r="F211" s="164" t="s">
        <v>1435</v>
      </c>
      <c r="G211" s="164" t="s">
        <v>1436</v>
      </c>
      <c r="H211" s="210">
        <v>43875.0</v>
      </c>
      <c r="I211" s="162" t="s">
        <v>1437</v>
      </c>
      <c r="J211" s="162" t="s">
        <v>1434</v>
      </c>
      <c r="K211" s="15" t="s">
        <v>466</v>
      </c>
      <c r="L211" s="15" t="s">
        <v>167</v>
      </c>
      <c r="M211" s="15" t="s">
        <v>81</v>
      </c>
      <c r="N211" s="15" t="s">
        <v>101</v>
      </c>
      <c r="O211" s="15" t="s">
        <v>35</v>
      </c>
      <c r="Q211" s="15" t="s">
        <v>121</v>
      </c>
      <c r="R211" s="166"/>
      <c r="S211" s="120"/>
      <c r="T211" s="69">
        <v>2.5982318E7</v>
      </c>
      <c r="U211" s="69"/>
      <c r="V211" s="132"/>
      <c r="W211" s="96" t="str">
        <f t="shared" si="125"/>
        <v/>
      </c>
      <c r="X211" s="98">
        <f t="shared" si="126"/>
        <v>25982318</v>
      </c>
      <c r="Y211" s="99" t="str">
        <f t="shared" si="127"/>
        <v>$24M - $26M</v>
      </c>
      <c r="Z211" s="15" t="s">
        <v>86</v>
      </c>
      <c r="AA211" s="15" t="s">
        <v>37</v>
      </c>
      <c r="AB211" s="15" t="s">
        <v>88</v>
      </c>
      <c r="AC211" s="15" t="s">
        <v>493</v>
      </c>
      <c r="AD211" s="15" t="s">
        <v>39</v>
      </c>
      <c r="AE211" s="15" t="s">
        <v>89</v>
      </c>
      <c r="AF211" s="15" t="s">
        <v>493</v>
      </c>
      <c r="AG211" s="69">
        <v>2.455E10</v>
      </c>
      <c r="AH211" s="97" t="str">
        <f t="shared" si="128"/>
        <v>$10B-$25B</v>
      </c>
      <c r="AI211" s="69">
        <v>2.455E10</v>
      </c>
      <c r="AJ211" s="97" t="str">
        <f t="shared" si="129"/>
        <v>$10B-$25B</v>
      </c>
      <c r="AK211" s="167">
        <v>0.1</v>
      </c>
      <c r="AL211" s="88" t="str">
        <f t="shared" si="130"/>
        <v>0%-10%</v>
      </c>
      <c r="AM211" s="32">
        <v>53.0</v>
      </c>
      <c r="AN211" s="15" t="s">
        <v>89</v>
      </c>
      <c r="AO211" s="15" t="s">
        <v>89</v>
      </c>
      <c r="AP211" s="15" t="s">
        <v>40</v>
      </c>
      <c r="AQ211" s="168"/>
      <c r="AR211" s="168"/>
      <c r="AS211" s="15" t="s">
        <v>469</v>
      </c>
      <c r="AT211" s="15" t="s">
        <v>493</v>
      </c>
      <c r="AU211" s="15" t="s">
        <v>493</v>
      </c>
      <c r="AV211" s="15" t="s">
        <v>493</v>
      </c>
      <c r="AW211" s="69">
        <v>356000.0</v>
      </c>
      <c r="AX211" s="96" t="str">
        <f t="shared" si="131"/>
        <v>$100K - $500K</v>
      </c>
      <c r="AY211" s="69">
        <v>21898.0</v>
      </c>
      <c r="AZ211" s="69">
        <v>1552290.0</v>
      </c>
      <c r="BA211" s="103" t="str">
        <f t="shared" si="132"/>
        <v>$1M - $2M</v>
      </c>
      <c r="BB211" s="103">
        <f t="shared" si="133"/>
        <v>0.01410690013</v>
      </c>
      <c r="BC211" s="103" t="str">
        <f t="shared" si="134"/>
        <v>&lt; 10%</v>
      </c>
      <c r="BD211" s="15" t="s">
        <v>107</v>
      </c>
      <c r="BF211" s="15" t="s">
        <v>493</v>
      </c>
      <c r="BG211" s="15">
        <v>8.0</v>
      </c>
      <c r="BH211" s="15">
        <v>4.0</v>
      </c>
      <c r="BI211" s="15" t="s">
        <v>493</v>
      </c>
      <c r="BJ211" s="15" t="s">
        <v>493</v>
      </c>
      <c r="BK211" s="15" t="s">
        <v>493</v>
      </c>
      <c r="BL211" s="15" t="s">
        <v>469</v>
      </c>
      <c r="BM211" s="15">
        <v>7.0</v>
      </c>
      <c r="BN211" s="15">
        <v>7.0</v>
      </c>
      <c r="BO211" s="15">
        <v>0.0</v>
      </c>
      <c r="BP211" s="15">
        <v>0.0</v>
      </c>
      <c r="BQ211" s="108"/>
      <c r="BR211" s="15">
        <v>5.0</v>
      </c>
      <c r="BS211" s="15">
        <v>3.0</v>
      </c>
      <c r="BT211" s="15">
        <v>2.0</v>
      </c>
      <c r="BU211" s="15">
        <v>44.0</v>
      </c>
      <c r="BV211" s="15" t="s">
        <v>493</v>
      </c>
      <c r="BW211" s="108"/>
      <c r="BX211" s="15">
        <v>3.0</v>
      </c>
      <c r="BY211" s="15">
        <v>0.0</v>
      </c>
      <c r="BZ211" s="15">
        <v>0.0</v>
      </c>
      <c r="CA211" s="15">
        <v>33.0</v>
      </c>
      <c r="CB211" s="15" t="s">
        <v>493</v>
      </c>
      <c r="CC211" s="108"/>
      <c r="CD211" s="15">
        <v>2.0</v>
      </c>
      <c r="CE211" s="15">
        <v>1.0</v>
      </c>
      <c r="CF211" s="15">
        <v>0.0</v>
      </c>
      <c r="CG211" s="15">
        <v>41.0</v>
      </c>
      <c r="CH211" s="15" t="s">
        <v>493</v>
      </c>
      <c r="CI211" s="108"/>
      <c r="CJ211" s="15">
        <v>5.0</v>
      </c>
      <c r="CK211" s="15">
        <v>0.0</v>
      </c>
      <c r="CL211" s="15">
        <v>0.0</v>
      </c>
      <c r="CM211" s="15">
        <v>30.0</v>
      </c>
      <c r="CN211" s="15" t="s">
        <v>493</v>
      </c>
      <c r="CO211" s="108"/>
      <c r="CU211" s="108"/>
      <c r="DA211" s="108"/>
      <c r="DG211" s="108"/>
      <c r="DM211" s="108"/>
      <c r="DS211" s="108"/>
      <c r="DT211" s="108"/>
      <c r="DU211" s="108"/>
      <c r="DW211" s="109"/>
      <c r="DX211" s="110">
        <f t="shared" si="13"/>
        <v>3.75</v>
      </c>
      <c r="DY211" s="111">
        <f t="shared" ref="DY211:DZ211" si="481">sum(BS211,BY211,CE211,CK211,CQ211,CW211,DC211,DI211,DO211)</f>
        <v>4</v>
      </c>
      <c r="DZ211" s="111">
        <f t="shared" si="481"/>
        <v>2</v>
      </c>
      <c r="EA211" s="110">
        <f t="shared" si="15"/>
        <v>37</v>
      </c>
      <c r="EB211" s="99" t="str">
        <f t="shared" si="16"/>
        <v>35 - 54</v>
      </c>
      <c r="EC211" s="112"/>
      <c r="ED211" s="113">
        <f t="shared" si="17"/>
        <v>2.5</v>
      </c>
      <c r="EE211" s="114" t="str">
        <f>IF(V211 &lt;&gt; "", 1+((V211-MIN(discount_rates))*(4)/(MAX(discount_rates) - MIN(discount_rates))), "")</f>
        <v/>
      </c>
      <c r="EF211" s="114" t="str">
        <f>IF(Q211="Debt", (1+((S211-MIN(interest_rates))*(4)/(MAX(interest_rates) - MIN(interest_rates)))), "")</f>
        <v/>
      </c>
      <c r="EG211" s="114" t="str">
        <f>IF(OR(Q211="Revenue Share", Q211="Profit Share"), (1+((R211-MIN(return_mutiples))*(4)/(MAX(return_mutiples) - MIN(return_mutiples)))), "")</f>
        <v/>
      </c>
      <c r="EH211" s="115">
        <f t="shared" si="18"/>
        <v>2.5</v>
      </c>
      <c r="EI211" s="116" t="str">
        <f t="shared" si="19"/>
        <v>Equity - Common</v>
      </c>
      <c r="EJ211" s="117">
        <f t="shared" si="20"/>
        <v>0.3287671233</v>
      </c>
      <c r="EK211" s="116" t="str">
        <f t="shared" si="21"/>
        <v>Growth</v>
      </c>
      <c r="EL211" s="112"/>
      <c r="EM211" s="118">
        <f t="shared" si="22"/>
        <v>3.3</v>
      </c>
      <c r="EN211" s="118">
        <f t="shared" si="23"/>
        <v>1.7</v>
      </c>
      <c r="EO211" s="119">
        <f t="shared" si="24"/>
        <v>5</v>
      </c>
      <c r="EP211" s="115">
        <f>1+((EO211-MIN(market_ratings_sums))*(4)/(MAX(market_ratings_sums) - MIN(market_ratings_sums)))</f>
        <v>2.614035088</v>
      </c>
      <c r="EQ211" s="116" t="str">
        <f t="shared" si="25"/>
        <v>No</v>
      </c>
      <c r="ER211" s="112"/>
      <c r="ES211" s="123">
        <f>1+((DX211-MIN(industry_experiences))*(4)/(MAX(industry_experiences) - MIN(industry_experiences)))</f>
        <v>1.357142857</v>
      </c>
      <c r="ET211" s="123">
        <f>1+((DY211-MIN(previous_startups))*(4)/(MAX(previous_startups) - MIN(previous_startups)))</f>
        <v>2.777777778</v>
      </c>
      <c r="EU211" s="123">
        <f>1+((DZ211-MIN(exits))*(4)/(MAX(exits) - MIN(exits)))</f>
        <v>3</v>
      </c>
      <c r="EV211" s="119">
        <f t="shared" si="26"/>
        <v>7.134920635</v>
      </c>
      <c r="EW211" s="124">
        <f>1+((EV211-MIN(team_ratings_sums))*(4)/(MAX(team_ratings_sums) - MIN(team_ratings_sums)))</f>
        <v>3.265217391</v>
      </c>
      <c r="EX211" s="116" t="str">
        <f t="shared" si="27"/>
        <v>35 - 54</v>
      </c>
      <c r="EY211" s="125">
        <f t="shared" si="28"/>
        <v>0.6849315068</v>
      </c>
      <c r="EZ211" s="116">
        <f t="shared" si="29"/>
        <v>4</v>
      </c>
      <c r="FA211" s="125">
        <f t="shared" si="30"/>
        <v>0.05479452055</v>
      </c>
      <c r="FB211" s="116">
        <f t="shared" si="31"/>
        <v>7</v>
      </c>
      <c r="FC211" s="125">
        <f t="shared" si="32"/>
        <v>0.04109589041</v>
      </c>
      <c r="FD211" s="116" t="str">
        <f t="shared" si="33"/>
        <v>Yes</v>
      </c>
      <c r="FE211" s="125">
        <f t="shared" si="34"/>
        <v>0.2465753425</v>
      </c>
      <c r="FF211" s="116" t="str">
        <f t="shared" ref="FF211:FH211" si="482">BJ211</f>
        <v>Yes</v>
      </c>
      <c r="FG211" s="116" t="str">
        <f t="shared" si="482"/>
        <v>Yes</v>
      </c>
      <c r="FH211" s="116" t="str">
        <f t="shared" si="482"/>
        <v>No</v>
      </c>
      <c r="FI211" s="112"/>
      <c r="FJ211" s="116" t="str">
        <f t="shared" si="36"/>
        <v>Recurring</v>
      </c>
      <c r="FK211" s="125">
        <f t="shared" si="37"/>
        <v>0.397260274</v>
      </c>
      <c r="FL211" s="116" t="str">
        <f t="shared" si="38"/>
        <v>B2B</v>
      </c>
      <c r="FM211" s="125">
        <f t="shared" si="39"/>
        <v>0.2465753425</v>
      </c>
      <c r="FN211" s="116" t="str">
        <f t="shared" si="40"/>
        <v>High</v>
      </c>
      <c r="FO211" s="125">
        <f t="shared" si="41"/>
        <v>0.5616438356</v>
      </c>
      <c r="FP211" s="116" t="str">
        <f t="shared" si="42"/>
        <v>Low</v>
      </c>
      <c r="FQ211" s="125">
        <f t="shared" si="43"/>
        <v>0.3561643836</v>
      </c>
      <c r="FR211" s="112"/>
      <c r="FS211" s="123">
        <f t="shared" si="44"/>
        <v>5</v>
      </c>
      <c r="FT211" s="123">
        <f t="shared" si="45"/>
        <v>2.3</v>
      </c>
      <c r="FU211" s="123">
        <f t="shared" si="46"/>
        <v>5</v>
      </c>
      <c r="FV211" s="123">
        <f t="shared" si="47"/>
        <v>2.8</v>
      </c>
      <c r="FW211" s="119">
        <f t="shared" si="48"/>
        <v>15.1</v>
      </c>
      <c r="FX211" s="115">
        <f>1+((FW211-MIN(performance_ratings_sums))*(4)/(MAX(performance_ratings_sums) - MIN(performance_ratings_sums)))</f>
        <v>4.140186916</v>
      </c>
      <c r="FY211" s="116" t="str">
        <f t="shared" si="49"/>
        <v>Pre-Profit</v>
      </c>
      <c r="FZ211" s="126">
        <f t="shared" si="50"/>
        <v>0.4931506849</v>
      </c>
      <c r="GA211" s="112"/>
      <c r="GB211" s="127">
        <f t="shared" si="51"/>
        <v>1</v>
      </c>
      <c r="GC211" s="116" t="str">
        <f t="shared" si="52"/>
        <v>Yes</v>
      </c>
      <c r="GD211" s="126">
        <f t="shared" si="53"/>
        <v>0.2328767123</v>
      </c>
      <c r="GE211" s="126" t="str">
        <f t="shared" si="54"/>
        <v/>
      </c>
      <c r="GF211" s="126">
        <f t="shared" si="55"/>
        <v>0</v>
      </c>
      <c r="GG211" s="126" t="str">
        <f t="shared" si="56"/>
        <v/>
      </c>
      <c r="GH211" s="126">
        <f t="shared" si="57"/>
        <v>0</v>
      </c>
      <c r="GI211" s="112"/>
      <c r="GJ211" s="116"/>
      <c r="GK211" s="119">
        <f t="shared" si="58"/>
        <v>13.51943939</v>
      </c>
      <c r="GL211" s="128">
        <f>1+((GK211-MIN(ratings_sums))*(4)/(MAX(ratings_sums) - MIN(ratings_sums)))</f>
        <v>2.940900545</v>
      </c>
    </row>
    <row r="212" ht="15.75" customHeight="1">
      <c r="A212" s="161" t="s">
        <v>1128</v>
      </c>
      <c r="B212" s="15">
        <v>1793635.0</v>
      </c>
      <c r="C212" s="162" t="s">
        <v>1438</v>
      </c>
      <c r="D212" s="163">
        <v>43819.50555555556</v>
      </c>
      <c r="E212" s="15" t="s">
        <v>381</v>
      </c>
      <c r="F212" s="164" t="s">
        <v>1439</v>
      </c>
      <c r="G212" s="164" t="s">
        <v>1440</v>
      </c>
      <c r="H212" s="173">
        <v>43906.0</v>
      </c>
      <c r="I212" s="162" t="s">
        <v>1441</v>
      </c>
      <c r="J212" s="162" t="s">
        <v>1438</v>
      </c>
      <c r="K212" s="15" t="s">
        <v>354</v>
      </c>
      <c r="L212" s="15" t="s">
        <v>390</v>
      </c>
      <c r="M212" s="15" t="s">
        <v>31</v>
      </c>
      <c r="N212" s="15" t="s">
        <v>82</v>
      </c>
      <c r="O212" s="15" t="s">
        <v>35</v>
      </c>
      <c r="Q212" s="15" t="s">
        <v>121</v>
      </c>
      <c r="R212" s="166"/>
      <c r="S212" s="120"/>
      <c r="T212" s="69">
        <v>1.2304998E7</v>
      </c>
      <c r="U212" s="69"/>
      <c r="V212" s="132"/>
      <c r="W212" s="96" t="str">
        <f t="shared" si="125"/>
        <v/>
      </c>
      <c r="X212" s="98">
        <f t="shared" si="126"/>
        <v>12304998</v>
      </c>
      <c r="Y212" s="99" t="str">
        <f t="shared" si="127"/>
        <v>$12M - $14M</v>
      </c>
      <c r="Z212" s="15" t="s">
        <v>86</v>
      </c>
      <c r="AA212" s="15" t="s">
        <v>123</v>
      </c>
      <c r="AB212" s="15" t="s">
        <v>38</v>
      </c>
      <c r="AC212" s="15" t="s">
        <v>493</v>
      </c>
      <c r="AD212" s="15" t="s">
        <v>89</v>
      </c>
      <c r="AE212" s="15" t="s">
        <v>89</v>
      </c>
      <c r="AF212" s="15" t="s">
        <v>469</v>
      </c>
      <c r="AG212" s="69">
        <v>2.0E11</v>
      </c>
      <c r="AH212" s="97" t="str">
        <f t="shared" si="128"/>
        <v>$100B-$250B</v>
      </c>
      <c r="AI212" s="69">
        <v>1.02E10</v>
      </c>
      <c r="AJ212" s="97" t="str">
        <f t="shared" si="129"/>
        <v>$10B-$25B</v>
      </c>
      <c r="AK212" s="167">
        <v>0.19</v>
      </c>
      <c r="AL212" s="88" t="str">
        <f t="shared" si="130"/>
        <v>10%-20%</v>
      </c>
      <c r="AM212" s="32">
        <v>2650.0</v>
      </c>
      <c r="AN212" s="15" t="s">
        <v>89</v>
      </c>
      <c r="AO212" s="15" t="s">
        <v>89</v>
      </c>
      <c r="AP212" s="15" t="s">
        <v>40</v>
      </c>
      <c r="AQ212" s="168"/>
      <c r="AR212" s="168"/>
      <c r="AS212" s="15" t="s">
        <v>469</v>
      </c>
      <c r="AT212" s="15" t="s">
        <v>469</v>
      </c>
      <c r="AU212" s="15" t="s">
        <v>493</v>
      </c>
      <c r="AV212" s="15" t="s">
        <v>493</v>
      </c>
      <c r="AW212" s="69">
        <v>179360.0</v>
      </c>
      <c r="AX212" s="96" t="str">
        <f t="shared" si="131"/>
        <v>$100K - $500K</v>
      </c>
      <c r="AY212" s="69">
        <v>1343.0</v>
      </c>
      <c r="AZ212" s="69">
        <v>100000.0</v>
      </c>
      <c r="BA212" s="103" t="str">
        <f t="shared" si="132"/>
        <v>$50K - $100K</v>
      </c>
      <c r="BB212" s="103">
        <f t="shared" si="133"/>
        <v>0.01343</v>
      </c>
      <c r="BC212" s="103" t="str">
        <f t="shared" si="134"/>
        <v>&lt; 10%</v>
      </c>
      <c r="BD212" s="15" t="s">
        <v>124</v>
      </c>
      <c r="BF212" s="15" t="s">
        <v>493</v>
      </c>
      <c r="BG212" s="15">
        <v>0.0</v>
      </c>
      <c r="BH212" s="15">
        <v>3.0</v>
      </c>
      <c r="BI212" s="15" t="s">
        <v>469</v>
      </c>
      <c r="BJ212" s="15" t="s">
        <v>493</v>
      </c>
      <c r="BK212" s="15" t="s">
        <v>469</v>
      </c>
      <c r="BL212" s="15" t="s">
        <v>469</v>
      </c>
      <c r="BM212" s="15">
        <v>3.0</v>
      </c>
      <c r="BN212" s="15">
        <v>4.0</v>
      </c>
      <c r="BO212" s="15">
        <v>0.0</v>
      </c>
      <c r="BP212" s="15">
        <v>0.0</v>
      </c>
      <c r="BQ212" s="108"/>
      <c r="BR212" s="15">
        <v>0.0</v>
      </c>
      <c r="BS212" s="15">
        <v>0.0</v>
      </c>
      <c r="BT212" s="15">
        <v>0.0</v>
      </c>
      <c r="BU212" s="15">
        <v>29.0</v>
      </c>
      <c r="BV212" s="15" t="s">
        <v>469</v>
      </c>
      <c r="BW212" s="108"/>
      <c r="BX212" s="15">
        <v>0.0</v>
      </c>
      <c r="BY212" s="15">
        <v>0.0</v>
      </c>
      <c r="BZ212" s="15">
        <v>0.0</v>
      </c>
      <c r="CA212" s="15">
        <v>29.0</v>
      </c>
      <c r="CB212" s="15" t="s">
        <v>469</v>
      </c>
      <c r="CC212" s="108"/>
      <c r="CD212" s="15">
        <v>0.0</v>
      </c>
      <c r="CE212" s="15">
        <v>2.0</v>
      </c>
      <c r="CF212" s="15">
        <v>0.0</v>
      </c>
      <c r="CI212" s="108"/>
      <c r="CO212" s="108"/>
      <c r="CU212" s="108"/>
      <c r="DA212" s="108"/>
      <c r="DG212" s="108"/>
      <c r="DM212" s="108"/>
      <c r="DS212" s="108"/>
      <c r="DT212" s="108"/>
      <c r="DU212" s="108"/>
      <c r="DW212" s="109"/>
      <c r="DX212" s="110">
        <f t="shared" si="13"/>
        <v>0</v>
      </c>
      <c r="DY212" s="111">
        <f t="shared" ref="DY212:DZ212" si="483">sum(BS212,BY212,CE212,CK212,CQ212,CW212,DC212,DI212,DO212)</f>
        <v>2</v>
      </c>
      <c r="DZ212" s="111">
        <f t="shared" si="483"/>
        <v>0</v>
      </c>
      <c r="EA212" s="110">
        <f t="shared" si="15"/>
        <v>29</v>
      </c>
      <c r="EB212" s="99" t="str">
        <f t="shared" si="16"/>
        <v>20 - 34</v>
      </c>
      <c r="EC212" s="112"/>
      <c r="ED212" s="113">
        <f t="shared" si="17"/>
        <v>3.7</v>
      </c>
      <c r="EE212" s="114" t="str">
        <f>IF(V212 &lt;&gt; "", 1+((V212-MIN(discount_rates))*(4)/(MAX(discount_rates) - MIN(discount_rates))), "")</f>
        <v/>
      </c>
      <c r="EF212" s="114" t="str">
        <f>IF(Q212="Debt", (1+((S212-MIN(interest_rates))*(4)/(MAX(interest_rates) - MIN(interest_rates)))), "")</f>
        <v/>
      </c>
      <c r="EG212" s="114" t="str">
        <f>IF(OR(Q212="Revenue Share", Q212="Profit Share"), (1+((R212-MIN(return_mutiples))*(4)/(MAX(return_mutiples) - MIN(return_mutiples)))), "")</f>
        <v/>
      </c>
      <c r="EH212" s="115">
        <f t="shared" si="18"/>
        <v>3.7</v>
      </c>
      <c r="EI212" s="116" t="str">
        <f t="shared" si="19"/>
        <v>Equity - Common</v>
      </c>
      <c r="EJ212" s="117">
        <f t="shared" si="20"/>
        <v>0.3287671233</v>
      </c>
      <c r="EK212" s="116" t="str">
        <f t="shared" si="21"/>
        <v>Early</v>
      </c>
      <c r="EL212" s="112"/>
      <c r="EM212" s="118">
        <f t="shared" si="22"/>
        <v>3.3</v>
      </c>
      <c r="EN212" s="118">
        <f t="shared" si="23"/>
        <v>2.3</v>
      </c>
      <c r="EO212" s="119">
        <f t="shared" si="24"/>
        <v>5.6</v>
      </c>
      <c r="EP212" s="115">
        <f>1+((EO212-MIN(market_ratings_sums))*(4)/(MAX(market_ratings_sums) - MIN(market_ratings_sums)))</f>
        <v>3.035087719</v>
      </c>
      <c r="EQ212" s="116" t="str">
        <f t="shared" si="25"/>
        <v>No</v>
      </c>
      <c r="ER212" s="112"/>
      <c r="ES212" s="123">
        <f>1+((DX212-MIN(industry_experiences))*(4)/(MAX(industry_experiences) - MIN(industry_experiences)))</f>
        <v>1</v>
      </c>
      <c r="ET212" s="123">
        <f>1+((DY212-MIN(previous_startups))*(4)/(MAX(previous_startups) - MIN(previous_startups)))</f>
        <v>1.888888889</v>
      </c>
      <c r="EU212" s="123">
        <f>1+((DZ212-MIN(exits))*(4)/(MAX(exits) - MIN(exits)))</f>
        <v>1</v>
      </c>
      <c r="EV212" s="119">
        <f t="shared" si="26"/>
        <v>3.888888889</v>
      </c>
      <c r="EW212" s="124">
        <f>1+((EV212-MIN(team_ratings_sums))*(4)/(MAX(team_ratings_sums) - MIN(team_ratings_sums)))</f>
        <v>1.486956522</v>
      </c>
      <c r="EX212" s="116" t="str">
        <f t="shared" si="27"/>
        <v>20 - 34</v>
      </c>
      <c r="EY212" s="125">
        <f t="shared" si="28"/>
        <v>0.2054794521</v>
      </c>
      <c r="EZ212" s="116">
        <f t="shared" si="29"/>
        <v>3</v>
      </c>
      <c r="FA212" s="125">
        <f t="shared" si="30"/>
        <v>0.05479452055</v>
      </c>
      <c r="FB212" s="116">
        <f t="shared" si="31"/>
        <v>4</v>
      </c>
      <c r="FC212" s="125">
        <f t="shared" si="32"/>
        <v>0.1369863014</v>
      </c>
      <c r="FD212" s="116" t="str">
        <f t="shared" si="33"/>
        <v>No</v>
      </c>
      <c r="FE212" s="125">
        <f t="shared" si="34"/>
        <v>0.7534246575</v>
      </c>
      <c r="FF212" s="116" t="str">
        <f t="shared" ref="FF212:FH212" si="484">BJ212</f>
        <v>Yes</v>
      </c>
      <c r="FG212" s="116" t="str">
        <f t="shared" si="484"/>
        <v>No</v>
      </c>
      <c r="FH212" s="116" t="str">
        <f t="shared" si="484"/>
        <v>No</v>
      </c>
      <c r="FI212" s="112"/>
      <c r="FJ212" s="116" t="str">
        <f t="shared" si="36"/>
        <v>Recurring</v>
      </c>
      <c r="FK212" s="125">
        <f t="shared" si="37"/>
        <v>0.397260274</v>
      </c>
      <c r="FL212" s="116" t="str">
        <f t="shared" si="38"/>
        <v>B2B/B2C</v>
      </c>
      <c r="FM212" s="125">
        <f t="shared" si="39"/>
        <v>0.3287671233</v>
      </c>
      <c r="FN212" s="116" t="str">
        <f t="shared" si="40"/>
        <v>Low</v>
      </c>
      <c r="FO212" s="125">
        <f t="shared" si="41"/>
        <v>0.4383561644</v>
      </c>
      <c r="FP212" s="116" t="str">
        <f t="shared" si="42"/>
        <v>Low</v>
      </c>
      <c r="FQ212" s="125">
        <f t="shared" si="43"/>
        <v>0.3561643836</v>
      </c>
      <c r="FR212" s="112"/>
      <c r="FS212" s="123">
        <f t="shared" si="44"/>
        <v>5</v>
      </c>
      <c r="FT212" s="123">
        <f t="shared" si="45"/>
        <v>2.3</v>
      </c>
      <c r="FU212" s="123">
        <f t="shared" si="46"/>
        <v>5</v>
      </c>
      <c r="FV212" s="123">
        <f t="shared" si="47"/>
        <v>4.1</v>
      </c>
      <c r="FW212" s="119">
        <f t="shared" si="48"/>
        <v>16.4</v>
      </c>
      <c r="FX212" s="115">
        <f>1+((FW212-MIN(performance_ratings_sums))*(4)/(MAX(performance_ratings_sums) - MIN(performance_ratings_sums)))</f>
        <v>4.626168224</v>
      </c>
      <c r="FY212" s="116" t="str">
        <f t="shared" si="49"/>
        <v>Profitable</v>
      </c>
      <c r="FZ212" s="126">
        <f t="shared" si="50"/>
        <v>0.06849315068</v>
      </c>
      <c r="GA212" s="112"/>
      <c r="GB212" s="127">
        <f t="shared" si="51"/>
        <v>1</v>
      </c>
      <c r="GC212" s="116" t="str">
        <f t="shared" si="52"/>
        <v>No</v>
      </c>
      <c r="GD212" s="126">
        <f t="shared" si="53"/>
        <v>0.7671232877</v>
      </c>
      <c r="GE212" s="126" t="str">
        <f t="shared" si="54"/>
        <v/>
      </c>
      <c r="GF212" s="126">
        <f t="shared" si="55"/>
        <v>0</v>
      </c>
      <c r="GG212" s="126" t="str">
        <f t="shared" si="56"/>
        <v/>
      </c>
      <c r="GH212" s="126">
        <f t="shared" si="57"/>
        <v>0</v>
      </c>
      <c r="GI212" s="112"/>
      <c r="GJ212" s="116"/>
      <c r="GK212" s="119">
        <f t="shared" si="58"/>
        <v>13.84821247</v>
      </c>
      <c r="GL212" s="128">
        <f>1+((GK212-MIN(ratings_sums))*(4)/(MAX(ratings_sums) - MIN(ratings_sums)))</f>
        <v>3.041781263</v>
      </c>
    </row>
    <row r="213" ht="15.75" customHeight="1">
      <c r="A213" s="161" t="s">
        <v>1128</v>
      </c>
      <c r="B213" s="15">
        <v>1792745.0</v>
      </c>
      <c r="C213" s="162" t="s">
        <v>1442</v>
      </c>
      <c r="D213" s="163">
        <v>43819.50763888889</v>
      </c>
      <c r="E213" s="15" t="s">
        <v>381</v>
      </c>
      <c r="F213" s="164" t="s">
        <v>1443</v>
      </c>
      <c r="G213" s="164" t="s">
        <v>1444</v>
      </c>
      <c r="H213" s="210">
        <v>43818.0</v>
      </c>
      <c r="I213" s="162" t="s">
        <v>1445</v>
      </c>
      <c r="J213" s="162" t="s">
        <v>1442</v>
      </c>
      <c r="K213" s="15" t="s">
        <v>436</v>
      </c>
      <c r="L213" s="15" t="s">
        <v>390</v>
      </c>
      <c r="M213" s="15" t="s">
        <v>81</v>
      </c>
      <c r="N213" s="15" t="s">
        <v>82</v>
      </c>
      <c r="O213" s="15" t="s">
        <v>35</v>
      </c>
      <c r="Q213" s="15" t="s">
        <v>121</v>
      </c>
      <c r="R213" s="166"/>
      <c r="S213" s="120"/>
      <c r="T213" s="69">
        <v>4992000.0</v>
      </c>
      <c r="U213" s="69"/>
      <c r="V213" s="132"/>
      <c r="W213" s="96" t="str">
        <f t="shared" si="125"/>
        <v/>
      </c>
      <c r="X213" s="98">
        <f t="shared" si="126"/>
        <v>4992000</v>
      </c>
      <c r="Y213" s="99" t="str">
        <f t="shared" si="127"/>
        <v>$4M - $6M</v>
      </c>
      <c r="Z213" s="15" t="s">
        <v>36</v>
      </c>
      <c r="AA213" s="15" t="s">
        <v>123</v>
      </c>
      <c r="AB213" s="15" t="s">
        <v>38</v>
      </c>
      <c r="AC213" s="15" t="s">
        <v>493</v>
      </c>
      <c r="AD213" s="15" t="s">
        <v>89</v>
      </c>
      <c r="AE213" s="15" t="s">
        <v>89</v>
      </c>
      <c r="AF213" s="15" t="s">
        <v>469</v>
      </c>
      <c r="AG213" s="69">
        <v>1.338E12</v>
      </c>
      <c r="AH213" s="97" t="str">
        <f t="shared" si="128"/>
        <v>&gt; $1T</v>
      </c>
      <c r="AI213" s="69">
        <v>1.0E10</v>
      </c>
      <c r="AJ213" s="97" t="str">
        <f t="shared" si="129"/>
        <v>$10B-$25B</v>
      </c>
      <c r="AK213" s="167">
        <v>0.05</v>
      </c>
      <c r="AL213" s="88" t="str">
        <f t="shared" si="130"/>
        <v>0%-10%</v>
      </c>
      <c r="AM213" s="15">
        <v>0.0</v>
      </c>
      <c r="AN213" s="15" t="s">
        <v>39</v>
      </c>
      <c r="AO213" s="15" t="s">
        <v>89</v>
      </c>
      <c r="AP213" s="15" t="s">
        <v>40</v>
      </c>
      <c r="AQ213" s="168"/>
      <c r="AR213" s="168"/>
      <c r="AS213" s="15" t="s">
        <v>493</v>
      </c>
      <c r="AT213" s="15" t="s">
        <v>469</v>
      </c>
      <c r="AU213" s="15" t="s">
        <v>493</v>
      </c>
      <c r="AV213" s="15" t="s">
        <v>493</v>
      </c>
      <c r="AW213" s="69">
        <v>594135.0</v>
      </c>
      <c r="AX213" s="96" t="str">
        <f t="shared" si="131"/>
        <v>$500K - $1M</v>
      </c>
      <c r="AY213" s="69">
        <v>12412.0</v>
      </c>
      <c r="AZ213" s="69">
        <v>329757.0</v>
      </c>
      <c r="BA213" s="103" t="str">
        <f t="shared" si="132"/>
        <v>$100K - $500K</v>
      </c>
      <c r="BB213" s="103">
        <f t="shared" si="133"/>
        <v>0.03763983782</v>
      </c>
      <c r="BC213" s="103" t="str">
        <f t="shared" si="134"/>
        <v>&lt; 10%</v>
      </c>
      <c r="BD213" s="15" t="s">
        <v>107</v>
      </c>
      <c r="BF213" s="15" t="s">
        <v>493</v>
      </c>
      <c r="BG213" s="15">
        <v>0.0</v>
      </c>
      <c r="BH213" s="15">
        <v>2.0</v>
      </c>
      <c r="BI213" s="15" t="s">
        <v>493</v>
      </c>
      <c r="BJ213" s="15" t="s">
        <v>493</v>
      </c>
      <c r="BK213" s="15" t="s">
        <v>469</v>
      </c>
      <c r="BL213" s="15" t="s">
        <v>469</v>
      </c>
      <c r="BM213" s="15">
        <v>1.0</v>
      </c>
      <c r="BN213" s="15">
        <v>4.0</v>
      </c>
      <c r="BO213" s="15">
        <v>0.0</v>
      </c>
      <c r="BP213" s="15">
        <v>0.0</v>
      </c>
      <c r="BQ213" s="108"/>
      <c r="BR213" s="15">
        <v>4.0</v>
      </c>
      <c r="BS213" s="15">
        <v>0.0</v>
      </c>
      <c r="BT213" s="15">
        <v>0.0</v>
      </c>
      <c r="BU213" s="15">
        <v>42.0</v>
      </c>
      <c r="BV213" s="15" t="s">
        <v>469</v>
      </c>
      <c r="BW213" s="108"/>
      <c r="BX213" s="15">
        <v>1.0</v>
      </c>
      <c r="CC213" s="108"/>
      <c r="CI213" s="108"/>
      <c r="CO213" s="108"/>
      <c r="CU213" s="108"/>
      <c r="DA213" s="108"/>
      <c r="DG213" s="108"/>
      <c r="DM213" s="108"/>
      <c r="DS213" s="108"/>
      <c r="DT213" s="108"/>
      <c r="DU213" s="108"/>
      <c r="DW213" s="109"/>
      <c r="DX213" s="110">
        <f t="shared" si="13"/>
        <v>2.5</v>
      </c>
      <c r="DY213" s="111">
        <f t="shared" ref="DY213:DZ213" si="485">sum(BS213,BY213,CE213,CK213,CQ213,CW213,DC213,DI213,DO213)</f>
        <v>0</v>
      </c>
      <c r="DZ213" s="111">
        <f t="shared" si="485"/>
        <v>0</v>
      </c>
      <c r="EA213" s="110">
        <f t="shared" si="15"/>
        <v>42</v>
      </c>
      <c r="EB213" s="99" t="str">
        <f t="shared" si="16"/>
        <v>35 - 54</v>
      </c>
      <c r="EC213" s="112"/>
      <c r="ED213" s="113">
        <f t="shared" si="17"/>
        <v>4.4</v>
      </c>
      <c r="EE213" s="114" t="str">
        <f>IF(V213 &lt;&gt; "", 1+((V213-MIN(discount_rates))*(4)/(MAX(discount_rates) - MIN(discount_rates))), "")</f>
        <v/>
      </c>
      <c r="EF213" s="114" t="str">
        <f>IF(Q213="Debt", (1+((S213-MIN(interest_rates))*(4)/(MAX(interest_rates) - MIN(interest_rates)))), "")</f>
        <v/>
      </c>
      <c r="EG213" s="114" t="str">
        <f>IF(OR(Q213="Revenue Share", Q213="Profit Share"), (1+((R213-MIN(return_mutiples))*(4)/(MAX(return_mutiples) - MIN(return_mutiples)))), "")</f>
        <v/>
      </c>
      <c r="EH213" s="115">
        <f t="shared" si="18"/>
        <v>4.4</v>
      </c>
      <c r="EI213" s="116" t="str">
        <f t="shared" si="19"/>
        <v>Equity - Common</v>
      </c>
      <c r="EJ213" s="117">
        <f t="shared" si="20"/>
        <v>0.3287671233</v>
      </c>
      <c r="EK213" s="116" t="str">
        <f t="shared" si="21"/>
        <v>Growth</v>
      </c>
      <c r="EL213" s="112"/>
      <c r="EM213" s="118">
        <f t="shared" si="22"/>
        <v>3.3</v>
      </c>
      <c r="EN213" s="118">
        <f t="shared" si="23"/>
        <v>1.7</v>
      </c>
      <c r="EO213" s="119">
        <f t="shared" si="24"/>
        <v>5</v>
      </c>
      <c r="EP213" s="115">
        <f>1+((EO213-MIN(market_ratings_sums))*(4)/(MAX(market_ratings_sums) - MIN(market_ratings_sums)))</f>
        <v>2.614035088</v>
      </c>
      <c r="EQ213" s="116" t="str">
        <f t="shared" si="25"/>
        <v>Yes</v>
      </c>
      <c r="ER213" s="112"/>
      <c r="ES213" s="123">
        <f>1+((DX213-MIN(industry_experiences))*(4)/(MAX(industry_experiences) - MIN(industry_experiences)))</f>
        <v>1.238095238</v>
      </c>
      <c r="ET213" s="123">
        <f>1+((DY213-MIN(previous_startups))*(4)/(MAX(previous_startups) - MIN(previous_startups)))</f>
        <v>1</v>
      </c>
      <c r="EU213" s="123">
        <f>1+((DZ213-MIN(exits))*(4)/(MAX(exits) - MIN(exits)))</f>
        <v>1</v>
      </c>
      <c r="EV213" s="119">
        <f t="shared" si="26"/>
        <v>3.238095238</v>
      </c>
      <c r="EW213" s="124">
        <f>1+((EV213-MIN(team_ratings_sums))*(4)/(MAX(team_ratings_sums) - MIN(team_ratings_sums)))</f>
        <v>1.130434783</v>
      </c>
      <c r="EX213" s="116" t="str">
        <f t="shared" si="27"/>
        <v>35 - 54</v>
      </c>
      <c r="EY213" s="125">
        <f t="shared" si="28"/>
        <v>0.6849315068</v>
      </c>
      <c r="EZ213" s="116">
        <f t="shared" si="29"/>
        <v>2</v>
      </c>
      <c r="FA213" s="125">
        <f t="shared" si="30"/>
        <v>0.4520547945</v>
      </c>
      <c r="FB213" s="116">
        <f t="shared" si="31"/>
        <v>4</v>
      </c>
      <c r="FC213" s="125">
        <f t="shared" si="32"/>
        <v>0.1369863014</v>
      </c>
      <c r="FD213" s="116" t="str">
        <f t="shared" si="33"/>
        <v>Yes</v>
      </c>
      <c r="FE213" s="125">
        <f t="shared" si="34"/>
        <v>0.2465753425</v>
      </c>
      <c r="FF213" s="116" t="str">
        <f t="shared" ref="FF213:FH213" si="486">BJ213</f>
        <v>Yes</v>
      </c>
      <c r="FG213" s="116" t="str">
        <f t="shared" si="486"/>
        <v>No</v>
      </c>
      <c r="FH213" s="116" t="str">
        <f t="shared" si="486"/>
        <v>No</v>
      </c>
      <c r="FI213" s="112"/>
      <c r="FJ213" s="116" t="str">
        <f t="shared" si="36"/>
        <v>Transactional</v>
      </c>
      <c r="FK213" s="125">
        <f t="shared" si="37"/>
        <v>0.602739726</v>
      </c>
      <c r="FL213" s="116" t="str">
        <f t="shared" si="38"/>
        <v>B2B/B2C</v>
      </c>
      <c r="FM213" s="125">
        <f t="shared" si="39"/>
        <v>0.3287671233</v>
      </c>
      <c r="FN213" s="116" t="str">
        <f t="shared" si="40"/>
        <v>Low</v>
      </c>
      <c r="FO213" s="125">
        <f t="shared" si="41"/>
        <v>0.4383561644</v>
      </c>
      <c r="FP213" s="116" t="str">
        <f t="shared" si="42"/>
        <v>Low</v>
      </c>
      <c r="FQ213" s="125">
        <f t="shared" si="43"/>
        <v>0.3561643836</v>
      </c>
      <c r="FR213" s="112"/>
      <c r="FS213" s="123">
        <f t="shared" si="44"/>
        <v>5</v>
      </c>
      <c r="FT213" s="123">
        <f t="shared" si="45"/>
        <v>2.8</v>
      </c>
      <c r="FU213" s="123">
        <f t="shared" si="46"/>
        <v>5</v>
      </c>
      <c r="FV213" s="123">
        <f t="shared" si="47"/>
        <v>3.7</v>
      </c>
      <c r="FW213" s="119">
        <f t="shared" si="48"/>
        <v>16.5</v>
      </c>
      <c r="FX213" s="115">
        <f>1+((FW213-MIN(performance_ratings_sums))*(4)/(MAX(performance_ratings_sums) - MIN(performance_ratings_sums)))</f>
        <v>4.663551402</v>
      </c>
      <c r="FY213" s="116" t="str">
        <f t="shared" si="49"/>
        <v>Pre-Profit</v>
      </c>
      <c r="FZ213" s="126">
        <f t="shared" si="50"/>
        <v>0.4931506849</v>
      </c>
      <c r="GA213" s="112"/>
      <c r="GB213" s="127">
        <f t="shared" si="51"/>
        <v>3</v>
      </c>
      <c r="GC213" s="116" t="str">
        <f t="shared" si="52"/>
        <v>No</v>
      </c>
      <c r="GD213" s="126">
        <f t="shared" si="53"/>
        <v>0.7671232877</v>
      </c>
      <c r="GE213" s="126" t="str">
        <f t="shared" si="54"/>
        <v/>
      </c>
      <c r="GF213" s="126">
        <f t="shared" si="55"/>
        <v>0</v>
      </c>
      <c r="GG213" s="126" t="str">
        <f t="shared" si="56"/>
        <v/>
      </c>
      <c r="GH213" s="126">
        <f t="shared" si="57"/>
        <v>0</v>
      </c>
      <c r="GI213" s="112"/>
      <c r="GJ213" s="116"/>
      <c r="GK213" s="119">
        <f t="shared" si="58"/>
        <v>15.80802127</v>
      </c>
      <c r="GL213" s="128">
        <f>1+((GK213-MIN(ratings_sums))*(4)/(MAX(ratings_sums) - MIN(ratings_sums)))</f>
        <v>3.643128933</v>
      </c>
    </row>
    <row r="214" ht="15.75" customHeight="1">
      <c r="A214" s="161" t="s">
        <v>1128</v>
      </c>
      <c r="B214" s="15">
        <v>1794075.0</v>
      </c>
      <c r="C214" s="162" t="s">
        <v>1446</v>
      </c>
      <c r="D214" s="163">
        <v>43819.51458333333</v>
      </c>
      <c r="E214" s="15" t="s">
        <v>392</v>
      </c>
      <c r="F214" s="164" t="s">
        <v>1447</v>
      </c>
      <c r="G214" s="164" t="s">
        <v>1448</v>
      </c>
      <c r="H214" s="210">
        <v>43805.0</v>
      </c>
      <c r="I214" s="162" t="s">
        <v>1449</v>
      </c>
      <c r="J214" s="162" t="s">
        <v>1446</v>
      </c>
      <c r="K214" s="15" t="s">
        <v>484</v>
      </c>
      <c r="L214" s="15" t="s">
        <v>167</v>
      </c>
      <c r="M214" s="15" t="s">
        <v>31</v>
      </c>
      <c r="N214" s="15" t="s">
        <v>82</v>
      </c>
      <c r="O214" s="15" t="s">
        <v>35</v>
      </c>
      <c r="Q214" s="15" t="s">
        <v>195</v>
      </c>
      <c r="R214" s="166"/>
      <c r="S214" s="120"/>
      <c r="T214" s="69"/>
      <c r="U214" s="69">
        <v>5500000.0</v>
      </c>
      <c r="V214" s="132">
        <v>0.0</v>
      </c>
      <c r="W214" s="96">
        <f t="shared" si="125"/>
        <v>5500000</v>
      </c>
      <c r="X214" s="98">
        <f t="shared" si="126"/>
        <v>5500000</v>
      </c>
      <c r="Y214" s="99" t="str">
        <f t="shared" si="127"/>
        <v>$4M - $6M</v>
      </c>
      <c r="Z214" s="15" t="s">
        <v>86</v>
      </c>
      <c r="AA214" s="15" t="s">
        <v>37</v>
      </c>
      <c r="AB214" s="15" t="s">
        <v>38</v>
      </c>
      <c r="AC214" s="15" t="s">
        <v>493</v>
      </c>
      <c r="AD214" s="15" t="s">
        <v>39</v>
      </c>
      <c r="AE214" s="15" t="s">
        <v>89</v>
      </c>
      <c r="AF214" s="15" t="s">
        <v>469</v>
      </c>
      <c r="AG214" s="69">
        <v>8.098E8</v>
      </c>
      <c r="AH214" s="97" t="str">
        <f t="shared" si="128"/>
        <v>$500M-$1B</v>
      </c>
      <c r="AI214" s="69">
        <v>8.098E8</v>
      </c>
      <c r="AJ214" s="97" t="str">
        <f t="shared" si="129"/>
        <v>$500M-$1B</v>
      </c>
      <c r="AK214" s="167">
        <v>0.12</v>
      </c>
      <c r="AL214" s="88" t="str">
        <f t="shared" si="130"/>
        <v>10%-20%</v>
      </c>
      <c r="AM214" s="15">
        <v>13.0</v>
      </c>
      <c r="AN214" s="15" t="s">
        <v>89</v>
      </c>
      <c r="AO214" s="15" t="s">
        <v>89</v>
      </c>
      <c r="AP214" s="15" t="s">
        <v>40</v>
      </c>
      <c r="AQ214" s="168"/>
      <c r="AR214" s="168"/>
      <c r="AS214" s="15" t="s">
        <v>469</v>
      </c>
      <c r="AT214" s="15" t="s">
        <v>493</v>
      </c>
      <c r="AU214" s="15" t="s">
        <v>493</v>
      </c>
      <c r="AV214" s="15" t="s">
        <v>493</v>
      </c>
      <c r="AW214" s="69">
        <v>5882.0</v>
      </c>
      <c r="AX214" s="96" t="str">
        <f t="shared" si="131"/>
        <v>&lt; $10K</v>
      </c>
      <c r="AY214" s="69">
        <v>1673.0</v>
      </c>
      <c r="AZ214" s="69">
        <v>170166.0</v>
      </c>
      <c r="BA214" s="103" t="str">
        <f t="shared" si="132"/>
        <v>$100K - $500K</v>
      </c>
      <c r="BB214" s="103">
        <f t="shared" si="133"/>
        <v>0.009831576226</v>
      </c>
      <c r="BC214" s="103" t="str">
        <f t="shared" si="134"/>
        <v>&lt; 10%</v>
      </c>
      <c r="BD214" s="15" t="s">
        <v>107</v>
      </c>
      <c r="BF214" s="15" t="s">
        <v>493</v>
      </c>
      <c r="BG214" s="15">
        <v>1.0</v>
      </c>
      <c r="BH214" s="15">
        <v>1.0</v>
      </c>
      <c r="BI214" s="15" t="s">
        <v>469</v>
      </c>
      <c r="BJ214" s="15" t="s">
        <v>469</v>
      </c>
      <c r="BK214" s="15" t="s">
        <v>493</v>
      </c>
      <c r="BL214" s="15" t="s">
        <v>469</v>
      </c>
      <c r="BM214" s="15">
        <v>3.0</v>
      </c>
      <c r="BN214" s="15">
        <v>1.0</v>
      </c>
      <c r="BO214" s="15">
        <v>3.0</v>
      </c>
      <c r="BP214" s="15">
        <v>0.0</v>
      </c>
      <c r="BQ214" s="108"/>
      <c r="BR214" s="15">
        <v>0.0</v>
      </c>
      <c r="BS214" s="15">
        <v>1.0</v>
      </c>
      <c r="BT214" s="15">
        <v>1.0</v>
      </c>
      <c r="BU214" s="15">
        <v>42.0</v>
      </c>
      <c r="BV214" s="15" t="s">
        <v>493</v>
      </c>
      <c r="BW214" s="108"/>
      <c r="CC214" s="108"/>
      <c r="CI214" s="108"/>
      <c r="CO214" s="108"/>
      <c r="CU214" s="108"/>
      <c r="DA214" s="108"/>
      <c r="DG214" s="108"/>
      <c r="DM214" s="108"/>
      <c r="DS214" s="108"/>
      <c r="DT214" s="108"/>
      <c r="DU214" s="108"/>
      <c r="DW214" s="109"/>
      <c r="DX214" s="110">
        <f t="shared" si="13"/>
        <v>0</v>
      </c>
      <c r="DY214" s="111">
        <f t="shared" ref="DY214:DZ214" si="487">sum(BS214,BY214,CE214,CK214,CQ214,CW214,DC214,DI214,DO214)</f>
        <v>1</v>
      </c>
      <c r="DZ214" s="111">
        <f t="shared" si="487"/>
        <v>1</v>
      </c>
      <c r="EA214" s="110">
        <f t="shared" si="15"/>
        <v>42</v>
      </c>
      <c r="EB214" s="99" t="str">
        <f t="shared" si="16"/>
        <v>35 - 54</v>
      </c>
      <c r="EC214" s="112"/>
      <c r="ED214" s="113">
        <f t="shared" si="17"/>
        <v>4.4</v>
      </c>
      <c r="EE214" s="114">
        <f>IF(V214 &lt;&gt; "", 1+((V214-MIN(discount_rates))*(4)/(MAX(discount_rates) - MIN(discount_rates))), "")</f>
        <v>1</v>
      </c>
      <c r="EF214" s="114" t="str">
        <f>IF(Q214="Debt", (1+((S214-MIN(interest_rates))*(4)/(MAX(interest_rates) - MIN(interest_rates)))), "")</f>
        <v/>
      </c>
      <c r="EG214" s="114" t="str">
        <f>IF(OR(Q214="Revenue Share", Q214="Profit Share"), (1+((R214-MIN(return_mutiples))*(4)/(MAX(return_mutiples) - MIN(return_mutiples)))), "")</f>
        <v/>
      </c>
      <c r="EH214" s="115">
        <f t="shared" si="18"/>
        <v>4.4</v>
      </c>
      <c r="EI214" s="116" t="str">
        <f t="shared" si="19"/>
        <v>SAFE</v>
      </c>
      <c r="EJ214" s="117">
        <f t="shared" si="20"/>
        <v>0.3561643836</v>
      </c>
      <c r="EK214" s="116" t="str">
        <f t="shared" si="21"/>
        <v>Early</v>
      </c>
      <c r="EL214" s="112"/>
      <c r="EM214" s="118">
        <f t="shared" si="22"/>
        <v>2.4</v>
      </c>
      <c r="EN214" s="118">
        <f t="shared" si="23"/>
        <v>2.3</v>
      </c>
      <c r="EO214" s="119">
        <f t="shared" si="24"/>
        <v>4.7</v>
      </c>
      <c r="EP214" s="115">
        <f>1+((EO214-MIN(market_ratings_sums))*(4)/(MAX(market_ratings_sums) - MIN(market_ratings_sums)))</f>
        <v>2.403508772</v>
      </c>
      <c r="EQ214" s="116" t="str">
        <f t="shared" si="25"/>
        <v>No</v>
      </c>
      <c r="ER214" s="112"/>
      <c r="ES214" s="123">
        <f>1+((DX214-MIN(industry_experiences))*(4)/(MAX(industry_experiences) - MIN(industry_experiences)))</f>
        <v>1</v>
      </c>
      <c r="ET214" s="123">
        <f>1+((DY214-MIN(previous_startups))*(4)/(MAX(previous_startups) - MIN(previous_startups)))</f>
        <v>1.444444444</v>
      </c>
      <c r="EU214" s="123">
        <f>1+((DZ214-MIN(exits))*(4)/(MAX(exits) - MIN(exits)))</f>
        <v>2</v>
      </c>
      <c r="EV214" s="119">
        <f t="shared" si="26"/>
        <v>4.444444444</v>
      </c>
      <c r="EW214" s="124">
        <f>1+((EV214-MIN(team_ratings_sums))*(4)/(MAX(team_ratings_sums) - MIN(team_ratings_sums)))</f>
        <v>1.791304348</v>
      </c>
      <c r="EX214" s="116" t="str">
        <f t="shared" si="27"/>
        <v>35 - 54</v>
      </c>
      <c r="EY214" s="125">
        <f t="shared" si="28"/>
        <v>0.6849315068</v>
      </c>
      <c r="EZ214" s="116">
        <f t="shared" si="29"/>
        <v>1</v>
      </c>
      <c r="FA214" s="125">
        <f t="shared" si="30"/>
        <v>0.4383561644</v>
      </c>
      <c r="FB214" s="116">
        <f t="shared" si="31"/>
        <v>1</v>
      </c>
      <c r="FC214" s="125">
        <f t="shared" si="32"/>
        <v>0.08219178082</v>
      </c>
      <c r="FD214" s="116" t="str">
        <f t="shared" si="33"/>
        <v>No</v>
      </c>
      <c r="FE214" s="125">
        <f t="shared" si="34"/>
        <v>0.7534246575</v>
      </c>
      <c r="FF214" s="116" t="str">
        <f t="shared" ref="FF214:FH214" si="488">BJ214</f>
        <v>No</v>
      </c>
      <c r="FG214" s="116" t="str">
        <f t="shared" si="488"/>
        <v>Yes</v>
      </c>
      <c r="FH214" s="116" t="str">
        <f t="shared" si="488"/>
        <v>No</v>
      </c>
      <c r="FI214" s="112"/>
      <c r="FJ214" s="116" t="str">
        <f t="shared" si="36"/>
        <v>Recurring</v>
      </c>
      <c r="FK214" s="125">
        <f t="shared" si="37"/>
        <v>0.397260274</v>
      </c>
      <c r="FL214" s="116" t="str">
        <f t="shared" si="38"/>
        <v>B2B</v>
      </c>
      <c r="FM214" s="125">
        <f t="shared" si="39"/>
        <v>0.2465753425</v>
      </c>
      <c r="FN214" s="116" t="str">
        <f t="shared" si="40"/>
        <v>High</v>
      </c>
      <c r="FO214" s="125">
        <f t="shared" si="41"/>
        <v>0.5616438356</v>
      </c>
      <c r="FP214" s="116" t="str">
        <f t="shared" si="42"/>
        <v>Low</v>
      </c>
      <c r="FQ214" s="125">
        <f t="shared" si="43"/>
        <v>0.3561643836</v>
      </c>
      <c r="FR214" s="112"/>
      <c r="FS214" s="123">
        <f t="shared" si="44"/>
        <v>5</v>
      </c>
      <c r="FT214" s="123">
        <f t="shared" si="45"/>
        <v>1</v>
      </c>
      <c r="FU214" s="123">
        <f t="shared" si="46"/>
        <v>5</v>
      </c>
      <c r="FV214" s="123">
        <f t="shared" si="47"/>
        <v>3.7</v>
      </c>
      <c r="FW214" s="119">
        <f t="shared" si="48"/>
        <v>14.7</v>
      </c>
      <c r="FX214" s="115">
        <f>1+((FW214-MIN(performance_ratings_sums))*(4)/(MAX(performance_ratings_sums) - MIN(performance_ratings_sums)))</f>
        <v>3.990654206</v>
      </c>
      <c r="FY214" s="116" t="str">
        <f t="shared" si="49"/>
        <v>Pre-Profit</v>
      </c>
      <c r="FZ214" s="126">
        <f t="shared" si="50"/>
        <v>0.4931506849</v>
      </c>
      <c r="GA214" s="112"/>
      <c r="GB214" s="127">
        <f t="shared" si="51"/>
        <v>1</v>
      </c>
      <c r="GC214" s="116" t="str">
        <f t="shared" si="52"/>
        <v>Yes</v>
      </c>
      <c r="GD214" s="126">
        <f t="shared" si="53"/>
        <v>0.2328767123</v>
      </c>
      <c r="GE214" s="126" t="str">
        <f t="shared" si="54"/>
        <v/>
      </c>
      <c r="GF214" s="126">
        <f t="shared" si="55"/>
        <v>0</v>
      </c>
      <c r="GG214" s="126" t="str">
        <f t="shared" si="56"/>
        <v/>
      </c>
      <c r="GH214" s="126">
        <f t="shared" si="57"/>
        <v>0</v>
      </c>
      <c r="GI214" s="112"/>
      <c r="GJ214" s="116"/>
      <c r="GK214" s="119">
        <f t="shared" si="58"/>
        <v>13.58546733</v>
      </c>
      <c r="GL214" s="128">
        <f>1+((GK214-MIN(ratings_sums))*(4)/(MAX(ratings_sums) - MIN(ratings_sums)))</f>
        <v>2.961160553</v>
      </c>
    </row>
    <row r="215" ht="15.75" customHeight="1">
      <c r="A215" s="161" t="s">
        <v>1128</v>
      </c>
      <c r="B215" s="15">
        <v>1797125.0</v>
      </c>
      <c r="C215" s="162" t="s">
        <v>1450</v>
      </c>
      <c r="D215" s="163">
        <v>43822.425</v>
      </c>
      <c r="E215" s="15" t="s">
        <v>381</v>
      </c>
      <c r="F215" s="164" t="s">
        <v>1451</v>
      </c>
      <c r="G215" s="164" t="s">
        <v>1452</v>
      </c>
      <c r="H215" s="210">
        <v>43909.0</v>
      </c>
      <c r="I215" s="162" t="s">
        <v>1453</v>
      </c>
      <c r="J215" s="162" t="s">
        <v>1450</v>
      </c>
      <c r="K215" s="15" t="s">
        <v>220</v>
      </c>
      <c r="L215" s="15" t="s">
        <v>117</v>
      </c>
      <c r="M215" s="15" t="s">
        <v>81</v>
      </c>
      <c r="N215" s="15" t="s">
        <v>82</v>
      </c>
      <c r="O215" s="15" t="s">
        <v>35</v>
      </c>
      <c r="Q215" s="15" t="s">
        <v>121</v>
      </c>
      <c r="R215" s="166"/>
      <c r="S215" s="120"/>
      <c r="T215" s="69">
        <v>1.2E7</v>
      </c>
      <c r="U215" s="69"/>
      <c r="V215" s="132"/>
      <c r="W215" s="96" t="str">
        <f t="shared" si="125"/>
        <v/>
      </c>
      <c r="X215" s="98">
        <f t="shared" si="126"/>
        <v>12000000</v>
      </c>
      <c r="Y215" s="99" t="str">
        <f t="shared" si="127"/>
        <v>$10M - $12M</v>
      </c>
      <c r="Z215" s="15" t="s">
        <v>36</v>
      </c>
      <c r="AA215" s="15" t="s">
        <v>123</v>
      </c>
      <c r="AB215" s="15" t="s">
        <v>38</v>
      </c>
      <c r="AC215" s="15" t="s">
        <v>493</v>
      </c>
      <c r="AD215" s="15" t="s">
        <v>89</v>
      </c>
      <c r="AE215" s="15" t="s">
        <v>89</v>
      </c>
      <c r="AF215" s="15" t="s">
        <v>469</v>
      </c>
      <c r="AG215" s="69">
        <v>1.311E10</v>
      </c>
      <c r="AH215" s="97" t="str">
        <f t="shared" si="128"/>
        <v>$10B-$25B</v>
      </c>
      <c r="AI215" s="69">
        <v>1.311E10</v>
      </c>
      <c r="AJ215" s="97" t="str">
        <f t="shared" si="129"/>
        <v>$10B-$25B</v>
      </c>
      <c r="AK215" s="167">
        <v>0.13</v>
      </c>
      <c r="AL215" s="88" t="str">
        <f t="shared" si="130"/>
        <v>10%-20%</v>
      </c>
      <c r="AM215" s="32">
        <v>11.0</v>
      </c>
      <c r="AN215" s="15" t="s">
        <v>89</v>
      </c>
      <c r="AO215" s="15" t="s">
        <v>89</v>
      </c>
      <c r="AP215" s="15" t="s">
        <v>90</v>
      </c>
      <c r="AQ215" s="168"/>
      <c r="AR215" s="168"/>
      <c r="AS215" s="15" t="s">
        <v>493</v>
      </c>
      <c r="AT215" s="15" t="s">
        <v>469</v>
      </c>
      <c r="AU215" s="15" t="s">
        <v>493</v>
      </c>
      <c r="AV215" s="15" t="s">
        <v>493</v>
      </c>
      <c r="AW215" s="69">
        <v>353000.0</v>
      </c>
      <c r="AX215" s="96" t="str">
        <f t="shared" si="131"/>
        <v>$100K - $500K</v>
      </c>
      <c r="AY215" s="69">
        <v>15035.0</v>
      </c>
      <c r="AZ215" s="69">
        <v>0.0</v>
      </c>
      <c r="BA215" s="103" t="str">
        <f t="shared" si="132"/>
        <v>&lt; $10K</v>
      </c>
      <c r="BB215" s="103">
        <f t="shared" si="133"/>
        <v>1</v>
      </c>
      <c r="BC215" s="103" t="str">
        <f t="shared" si="134"/>
        <v>90% - 100%</v>
      </c>
      <c r="BD215" s="15" t="s">
        <v>124</v>
      </c>
      <c r="BF215" s="15" t="s">
        <v>493</v>
      </c>
      <c r="BG215" s="15">
        <v>0.0</v>
      </c>
      <c r="BH215" s="15">
        <v>2.0</v>
      </c>
      <c r="BI215" s="15" t="s">
        <v>493</v>
      </c>
      <c r="BJ215" s="15" t="s">
        <v>469</v>
      </c>
      <c r="BK215" s="15" t="s">
        <v>469</v>
      </c>
      <c r="BL215" s="15" t="s">
        <v>469</v>
      </c>
      <c r="BM215" s="15">
        <v>1.0</v>
      </c>
      <c r="BN215" s="15">
        <v>13.0</v>
      </c>
      <c r="BO215" s="15">
        <v>0.0</v>
      </c>
      <c r="BP215" s="15">
        <v>0.0</v>
      </c>
      <c r="BQ215" s="108"/>
      <c r="BR215" s="15">
        <v>0.0</v>
      </c>
      <c r="BS215" s="15">
        <v>0.0</v>
      </c>
      <c r="BT215" s="15">
        <v>0.0</v>
      </c>
      <c r="BU215" s="15">
        <v>42.0</v>
      </c>
      <c r="BV215" s="15" t="s">
        <v>469</v>
      </c>
      <c r="BW215" s="108"/>
      <c r="CC215" s="108"/>
      <c r="CI215" s="108"/>
      <c r="CO215" s="108"/>
      <c r="CU215" s="108"/>
      <c r="DA215" s="108"/>
      <c r="DG215" s="108"/>
      <c r="DM215" s="108"/>
      <c r="DS215" s="108"/>
      <c r="DT215" s="108"/>
      <c r="DU215" s="108"/>
      <c r="DW215" s="109"/>
      <c r="DX215" s="110">
        <f t="shared" si="13"/>
        <v>0</v>
      </c>
      <c r="DY215" s="111">
        <f t="shared" ref="DY215:DZ215" si="489">sum(BS215,BY215,CE215,CK215,CQ215,CW215,DC215,DI215,DO215)</f>
        <v>0</v>
      </c>
      <c r="DZ215" s="111">
        <f t="shared" si="489"/>
        <v>0</v>
      </c>
      <c r="EA215" s="110">
        <f t="shared" si="15"/>
        <v>42</v>
      </c>
      <c r="EB215" s="99" t="str">
        <f t="shared" si="16"/>
        <v>35 - 54</v>
      </c>
      <c r="EC215" s="112"/>
      <c r="ED215" s="113">
        <f t="shared" si="17"/>
        <v>3.9</v>
      </c>
      <c r="EE215" s="114" t="str">
        <f>IF(V215 &lt;&gt; "", 1+((V215-MIN(discount_rates))*(4)/(MAX(discount_rates) - MIN(discount_rates))), "")</f>
        <v/>
      </c>
      <c r="EF215" s="114" t="str">
        <f>IF(Q215="Debt", (1+((S215-MIN(interest_rates))*(4)/(MAX(interest_rates) - MIN(interest_rates)))), "")</f>
        <v/>
      </c>
      <c r="EG215" s="114" t="str">
        <f>IF(OR(Q215="Revenue Share", Q215="Profit Share"), (1+((R215-MIN(return_mutiples))*(4)/(MAX(return_mutiples) - MIN(return_mutiples)))), "")</f>
        <v/>
      </c>
      <c r="EH215" s="115">
        <f t="shared" si="18"/>
        <v>3.9</v>
      </c>
      <c r="EI215" s="116" t="str">
        <f t="shared" si="19"/>
        <v>Equity - Common</v>
      </c>
      <c r="EJ215" s="117">
        <f t="shared" si="20"/>
        <v>0.3287671233</v>
      </c>
      <c r="EK215" s="116" t="str">
        <f t="shared" si="21"/>
        <v>Growth</v>
      </c>
      <c r="EL215" s="112"/>
      <c r="EM215" s="118">
        <f t="shared" si="22"/>
        <v>3.3</v>
      </c>
      <c r="EN215" s="118">
        <f t="shared" si="23"/>
        <v>2.3</v>
      </c>
      <c r="EO215" s="119">
        <f t="shared" si="24"/>
        <v>5.6</v>
      </c>
      <c r="EP215" s="115">
        <f>1+((EO215-MIN(market_ratings_sums))*(4)/(MAX(market_ratings_sums) - MIN(market_ratings_sums)))</f>
        <v>3.035087719</v>
      </c>
      <c r="EQ215" s="116" t="str">
        <f t="shared" si="25"/>
        <v>Yes</v>
      </c>
      <c r="ER215" s="112"/>
      <c r="ES215" s="123">
        <f>1+((DX215-MIN(industry_experiences))*(4)/(MAX(industry_experiences) - MIN(industry_experiences)))</f>
        <v>1</v>
      </c>
      <c r="ET215" s="123">
        <f>1+((DY215-MIN(previous_startups))*(4)/(MAX(previous_startups) - MIN(previous_startups)))</f>
        <v>1</v>
      </c>
      <c r="EU215" s="123">
        <f>1+((DZ215-MIN(exits))*(4)/(MAX(exits) - MIN(exits)))</f>
        <v>1</v>
      </c>
      <c r="EV215" s="119">
        <f t="shared" si="26"/>
        <v>3</v>
      </c>
      <c r="EW215" s="124">
        <f>1+((EV215-MIN(team_ratings_sums))*(4)/(MAX(team_ratings_sums) - MIN(team_ratings_sums)))</f>
        <v>1</v>
      </c>
      <c r="EX215" s="116" t="str">
        <f t="shared" si="27"/>
        <v>35 - 54</v>
      </c>
      <c r="EY215" s="125">
        <f t="shared" si="28"/>
        <v>0.6849315068</v>
      </c>
      <c r="EZ215" s="116">
        <f t="shared" si="29"/>
        <v>2</v>
      </c>
      <c r="FA215" s="125">
        <f t="shared" si="30"/>
        <v>0.4520547945</v>
      </c>
      <c r="FB215" s="116">
        <f t="shared" si="31"/>
        <v>13</v>
      </c>
      <c r="FC215" s="125">
        <f t="shared" si="32"/>
        <v>0.02739726027</v>
      </c>
      <c r="FD215" s="116" t="str">
        <f t="shared" si="33"/>
        <v>Yes</v>
      </c>
      <c r="FE215" s="125">
        <f t="shared" si="34"/>
        <v>0.2465753425</v>
      </c>
      <c r="FF215" s="116" t="str">
        <f t="shared" ref="FF215:FH215" si="490">BJ215</f>
        <v>No</v>
      </c>
      <c r="FG215" s="116" t="str">
        <f t="shared" si="490"/>
        <v>No</v>
      </c>
      <c r="FH215" s="116" t="str">
        <f t="shared" si="490"/>
        <v>No</v>
      </c>
      <c r="FI215" s="112"/>
      <c r="FJ215" s="116" t="str">
        <f t="shared" si="36"/>
        <v>Transactional</v>
      </c>
      <c r="FK215" s="125">
        <f t="shared" si="37"/>
        <v>0.602739726</v>
      </c>
      <c r="FL215" s="116" t="str">
        <f t="shared" si="38"/>
        <v>B2B/B2C</v>
      </c>
      <c r="FM215" s="125">
        <f t="shared" si="39"/>
        <v>0.3287671233</v>
      </c>
      <c r="FN215" s="116" t="str">
        <f t="shared" si="40"/>
        <v>Low</v>
      </c>
      <c r="FO215" s="125">
        <f t="shared" si="41"/>
        <v>0.4383561644</v>
      </c>
      <c r="FP215" s="116" t="str">
        <f t="shared" si="42"/>
        <v>Low</v>
      </c>
      <c r="FQ215" s="125">
        <f t="shared" si="43"/>
        <v>0.3561643836</v>
      </c>
      <c r="FR215" s="112"/>
      <c r="FS215" s="123">
        <f t="shared" si="44"/>
        <v>5</v>
      </c>
      <c r="FT215" s="123">
        <f t="shared" si="45"/>
        <v>2.3</v>
      </c>
      <c r="FU215" s="123">
        <f t="shared" si="46"/>
        <v>1</v>
      </c>
      <c r="FV215" s="123">
        <f t="shared" si="47"/>
        <v>5</v>
      </c>
      <c r="FW215" s="119">
        <f t="shared" si="48"/>
        <v>13.3</v>
      </c>
      <c r="FX215" s="115">
        <f>1+((FW215-MIN(performance_ratings_sums))*(4)/(MAX(performance_ratings_sums) - MIN(performance_ratings_sums)))</f>
        <v>3.46728972</v>
      </c>
      <c r="FY215" s="116" t="str">
        <f t="shared" si="49"/>
        <v>Profitable</v>
      </c>
      <c r="FZ215" s="126">
        <f t="shared" si="50"/>
        <v>0.06849315068</v>
      </c>
      <c r="GA215" s="112"/>
      <c r="GB215" s="127">
        <f t="shared" si="51"/>
        <v>1</v>
      </c>
      <c r="GC215" s="116" t="str">
        <f t="shared" si="52"/>
        <v>No</v>
      </c>
      <c r="GD215" s="126">
        <f t="shared" si="53"/>
        <v>0.7671232877</v>
      </c>
      <c r="GE215" s="126" t="str">
        <f t="shared" si="54"/>
        <v/>
      </c>
      <c r="GF215" s="126">
        <f t="shared" si="55"/>
        <v>0</v>
      </c>
      <c r="GG215" s="126" t="str">
        <f t="shared" si="56"/>
        <v/>
      </c>
      <c r="GH215" s="126">
        <f t="shared" si="57"/>
        <v>0</v>
      </c>
      <c r="GI215" s="112"/>
      <c r="GJ215" s="116"/>
      <c r="GK215" s="119">
        <f t="shared" si="58"/>
        <v>12.40237744</v>
      </c>
      <c r="GL215" s="128">
        <f>1+((GK215-MIN(ratings_sums))*(4)/(MAX(ratings_sums) - MIN(ratings_sums)))</f>
        <v>2.59814129</v>
      </c>
    </row>
    <row r="216" ht="15.75" customHeight="1">
      <c r="A216" s="161" t="s">
        <v>1128</v>
      </c>
      <c r="B216" s="15">
        <v>1681290.0</v>
      </c>
      <c r="C216" s="162" t="s">
        <v>1454</v>
      </c>
      <c r="D216" s="163">
        <v>43822.42847222222</v>
      </c>
      <c r="E216" s="15" t="s">
        <v>381</v>
      </c>
      <c r="F216" s="164" t="s">
        <v>1455</v>
      </c>
      <c r="G216" s="164" t="s">
        <v>1456</v>
      </c>
      <c r="H216" s="210">
        <v>43906.0</v>
      </c>
      <c r="I216" s="162" t="s">
        <v>1457</v>
      </c>
      <c r="J216" s="162" t="s">
        <v>1454</v>
      </c>
      <c r="K216" s="15" t="s">
        <v>430</v>
      </c>
      <c r="L216" s="15" t="s">
        <v>316</v>
      </c>
      <c r="M216" s="15" t="s">
        <v>31</v>
      </c>
      <c r="N216" s="15" t="s">
        <v>82</v>
      </c>
      <c r="O216" s="15" t="s">
        <v>35</v>
      </c>
      <c r="Q216" s="15" t="s">
        <v>121</v>
      </c>
      <c r="R216" s="166"/>
      <c r="S216" s="120"/>
      <c r="T216" s="69">
        <v>1.02E7</v>
      </c>
      <c r="U216" s="69"/>
      <c r="V216" s="132"/>
      <c r="W216" s="96" t="str">
        <f t="shared" si="125"/>
        <v/>
      </c>
      <c r="X216" s="98">
        <f t="shared" si="126"/>
        <v>10200000</v>
      </c>
      <c r="Y216" s="99" t="str">
        <f t="shared" si="127"/>
        <v>$10M - $12M</v>
      </c>
      <c r="Z216" s="15" t="s">
        <v>36</v>
      </c>
      <c r="AA216" s="15" t="s">
        <v>37</v>
      </c>
      <c r="AB216" s="15" t="s">
        <v>88</v>
      </c>
      <c r="AC216" s="15" t="s">
        <v>493</v>
      </c>
      <c r="AD216" s="15" t="s">
        <v>39</v>
      </c>
      <c r="AE216" s="15" t="s">
        <v>39</v>
      </c>
      <c r="AF216" s="15" t="s">
        <v>493</v>
      </c>
      <c r="AG216" s="69">
        <v>7.591E9</v>
      </c>
      <c r="AH216" s="97" t="str">
        <f t="shared" si="128"/>
        <v>$5B-$10B</v>
      </c>
      <c r="AI216" s="69">
        <v>1.0E9</v>
      </c>
      <c r="AJ216" s="97" t="str">
        <f t="shared" si="129"/>
        <v>$1B-$5B</v>
      </c>
      <c r="AK216" s="167">
        <v>0.15</v>
      </c>
      <c r="AL216" s="88" t="str">
        <f t="shared" si="130"/>
        <v>10%-20%</v>
      </c>
      <c r="AM216" s="15">
        <v>31.0</v>
      </c>
      <c r="AN216" s="15" t="s">
        <v>39</v>
      </c>
      <c r="AO216" s="15" t="s">
        <v>89</v>
      </c>
      <c r="AP216" s="15" t="s">
        <v>106</v>
      </c>
      <c r="AQ216" s="168"/>
      <c r="AR216" s="168"/>
      <c r="AS216" s="15" t="s">
        <v>469</v>
      </c>
      <c r="AT216" s="15" t="s">
        <v>493</v>
      </c>
      <c r="AU216" s="15" t="s">
        <v>469</v>
      </c>
      <c r="AV216" s="15" t="s">
        <v>469</v>
      </c>
      <c r="AW216" s="69">
        <v>0.0</v>
      </c>
      <c r="AX216" s="96" t="str">
        <f t="shared" si="131"/>
        <v>&lt; $10K</v>
      </c>
      <c r="AY216" s="69">
        <v>49232.0</v>
      </c>
      <c r="AZ216" s="69">
        <v>1800000.0</v>
      </c>
      <c r="BA216" s="103" t="str">
        <f t="shared" si="132"/>
        <v>$1M - $2M</v>
      </c>
      <c r="BB216" s="103">
        <f t="shared" si="133"/>
        <v>0.02735111111</v>
      </c>
      <c r="BC216" s="103" t="str">
        <f t="shared" si="134"/>
        <v>&lt; 10%</v>
      </c>
      <c r="BD216" s="15" t="s">
        <v>41</v>
      </c>
      <c r="BF216" s="15" t="s">
        <v>493</v>
      </c>
      <c r="BG216" s="15">
        <v>0.0</v>
      </c>
      <c r="BH216" s="15">
        <v>1.0</v>
      </c>
      <c r="BI216" s="15" t="s">
        <v>493</v>
      </c>
      <c r="BJ216" s="15" t="s">
        <v>469</v>
      </c>
      <c r="BK216" s="15" t="s">
        <v>469</v>
      </c>
      <c r="BL216" s="15" t="s">
        <v>469</v>
      </c>
      <c r="BM216" s="15">
        <v>1.0</v>
      </c>
      <c r="BN216" s="15">
        <v>3.0</v>
      </c>
      <c r="BO216" s="15">
        <v>0.0</v>
      </c>
      <c r="BP216" s="15">
        <v>0.0</v>
      </c>
      <c r="BQ216" s="108"/>
      <c r="BR216" s="15">
        <v>7.0</v>
      </c>
      <c r="BS216" s="15">
        <v>0.0</v>
      </c>
      <c r="BT216" s="15">
        <v>0.0</v>
      </c>
      <c r="BU216" s="15">
        <v>31.0</v>
      </c>
      <c r="BV216" s="15" t="s">
        <v>493</v>
      </c>
      <c r="BW216" s="108"/>
      <c r="CC216" s="108"/>
      <c r="CI216" s="108"/>
      <c r="CO216" s="108"/>
      <c r="CU216" s="108"/>
      <c r="DA216" s="108"/>
      <c r="DG216" s="108"/>
      <c r="DM216" s="108"/>
      <c r="DS216" s="108"/>
      <c r="DT216" s="108"/>
      <c r="DU216" s="108"/>
      <c r="DW216" s="109"/>
      <c r="DX216" s="110">
        <f t="shared" si="13"/>
        <v>7</v>
      </c>
      <c r="DY216" s="111">
        <f t="shared" ref="DY216:DZ216" si="491">sum(BS216,BY216,CE216,CK216,CQ216,CW216,DC216,DI216,DO216)</f>
        <v>0</v>
      </c>
      <c r="DZ216" s="111">
        <f t="shared" si="491"/>
        <v>0</v>
      </c>
      <c r="EA216" s="110">
        <f t="shared" si="15"/>
        <v>31</v>
      </c>
      <c r="EB216" s="99" t="str">
        <f t="shared" si="16"/>
        <v>20 - 34</v>
      </c>
      <c r="EC216" s="112"/>
      <c r="ED216" s="113">
        <f t="shared" si="17"/>
        <v>3.9</v>
      </c>
      <c r="EE216" s="114" t="str">
        <f>IF(V216 &lt;&gt; "", 1+((V216-MIN(discount_rates))*(4)/(MAX(discount_rates) - MIN(discount_rates))), "")</f>
        <v/>
      </c>
      <c r="EF216" s="114" t="str">
        <f>IF(Q216="Debt", (1+((S216-MIN(interest_rates))*(4)/(MAX(interest_rates) - MIN(interest_rates)))), "")</f>
        <v/>
      </c>
      <c r="EG216" s="114" t="str">
        <f>IF(OR(Q216="Revenue Share", Q216="Profit Share"), (1+((R216-MIN(return_mutiples))*(4)/(MAX(return_mutiples) - MIN(return_mutiples)))), "")</f>
        <v/>
      </c>
      <c r="EH216" s="115">
        <f t="shared" si="18"/>
        <v>3.9</v>
      </c>
      <c r="EI216" s="116" t="str">
        <f t="shared" si="19"/>
        <v>Equity - Common</v>
      </c>
      <c r="EJ216" s="117">
        <f t="shared" si="20"/>
        <v>0.3287671233</v>
      </c>
      <c r="EK216" s="116" t="str">
        <f t="shared" si="21"/>
        <v>Early</v>
      </c>
      <c r="EL216" s="112"/>
      <c r="EM216" s="118">
        <f t="shared" si="22"/>
        <v>2.7</v>
      </c>
      <c r="EN216" s="118">
        <f t="shared" si="23"/>
        <v>2.3</v>
      </c>
      <c r="EO216" s="119">
        <f t="shared" si="24"/>
        <v>5</v>
      </c>
      <c r="EP216" s="115">
        <f>1+((EO216-MIN(market_ratings_sums))*(4)/(MAX(market_ratings_sums) - MIN(market_ratings_sums)))</f>
        <v>2.614035088</v>
      </c>
      <c r="EQ216" s="116" t="str">
        <f t="shared" si="25"/>
        <v>No</v>
      </c>
      <c r="ER216" s="112"/>
      <c r="ES216" s="123">
        <f>1+((DX216-MIN(industry_experiences))*(4)/(MAX(industry_experiences) - MIN(industry_experiences)))</f>
        <v>1.666666667</v>
      </c>
      <c r="ET216" s="123">
        <f>1+((DY216-MIN(previous_startups))*(4)/(MAX(previous_startups) - MIN(previous_startups)))</f>
        <v>1</v>
      </c>
      <c r="EU216" s="123">
        <f>1+((DZ216-MIN(exits))*(4)/(MAX(exits) - MIN(exits)))</f>
        <v>1</v>
      </c>
      <c r="EV216" s="119">
        <f t="shared" si="26"/>
        <v>3.666666667</v>
      </c>
      <c r="EW216" s="124">
        <f>1+((EV216-MIN(team_ratings_sums))*(4)/(MAX(team_ratings_sums) - MIN(team_ratings_sums)))</f>
        <v>1.365217391</v>
      </c>
      <c r="EX216" s="116" t="str">
        <f t="shared" si="27"/>
        <v>20 - 34</v>
      </c>
      <c r="EY216" s="125">
        <f t="shared" si="28"/>
        <v>0.2054794521</v>
      </c>
      <c r="EZ216" s="116">
        <f t="shared" si="29"/>
        <v>1</v>
      </c>
      <c r="FA216" s="125">
        <f t="shared" si="30"/>
        <v>0.4383561644</v>
      </c>
      <c r="FB216" s="116">
        <f t="shared" si="31"/>
        <v>3</v>
      </c>
      <c r="FC216" s="125">
        <f t="shared" si="32"/>
        <v>0.08219178082</v>
      </c>
      <c r="FD216" s="116" t="str">
        <f t="shared" si="33"/>
        <v>Yes</v>
      </c>
      <c r="FE216" s="125">
        <f t="shared" si="34"/>
        <v>0.2465753425</v>
      </c>
      <c r="FF216" s="116" t="str">
        <f t="shared" ref="FF216:FH216" si="492">BJ216</f>
        <v>No</v>
      </c>
      <c r="FG216" s="116" t="str">
        <f t="shared" si="492"/>
        <v>No</v>
      </c>
      <c r="FH216" s="116" t="str">
        <f t="shared" si="492"/>
        <v>No</v>
      </c>
      <c r="FI216" s="112"/>
      <c r="FJ216" s="116" t="str">
        <f t="shared" si="36"/>
        <v>Transactional</v>
      </c>
      <c r="FK216" s="125">
        <f t="shared" si="37"/>
        <v>0.602739726</v>
      </c>
      <c r="FL216" s="116" t="str">
        <f t="shared" si="38"/>
        <v>B2B</v>
      </c>
      <c r="FM216" s="125">
        <f t="shared" si="39"/>
        <v>0.2465753425</v>
      </c>
      <c r="FN216" s="116" t="str">
        <f t="shared" si="40"/>
        <v>High</v>
      </c>
      <c r="FO216" s="125">
        <f t="shared" si="41"/>
        <v>0.5616438356</v>
      </c>
      <c r="FP216" s="116" t="str">
        <f t="shared" si="42"/>
        <v>High</v>
      </c>
      <c r="FQ216" s="125">
        <f t="shared" si="43"/>
        <v>0.6438356164</v>
      </c>
      <c r="FR216" s="112"/>
      <c r="FS216" s="123">
        <f t="shared" si="44"/>
        <v>1</v>
      </c>
      <c r="FT216" s="123">
        <f t="shared" si="45"/>
        <v>1</v>
      </c>
      <c r="FU216" s="123">
        <f t="shared" si="46"/>
        <v>5</v>
      </c>
      <c r="FV216" s="123">
        <f t="shared" si="47"/>
        <v>2.8</v>
      </c>
      <c r="FW216" s="119">
        <f t="shared" si="48"/>
        <v>9.8</v>
      </c>
      <c r="FX216" s="115">
        <f>1+((FW216-MIN(performance_ratings_sums))*(4)/(MAX(performance_ratings_sums) - MIN(performance_ratings_sums)))</f>
        <v>2.158878505</v>
      </c>
      <c r="FY216" s="116" t="str">
        <f t="shared" si="49"/>
        <v>Pre-Product</v>
      </c>
      <c r="FZ216" s="126">
        <f t="shared" si="50"/>
        <v>0.2328767123</v>
      </c>
      <c r="GA216" s="112"/>
      <c r="GB216" s="127">
        <f t="shared" si="51"/>
        <v>3</v>
      </c>
      <c r="GC216" s="116" t="str">
        <f t="shared" si="52"/>
        <v>Yes</v>
      </c>
      <c r="GD216" s="126">
        <f t="shared" si="53"/>
        <v>0.2328767123</v>
      </c>
      <c r="GE216" s="126" t="str">
        <f t="shared" si="54"/>
        <v/>
      </c>
      <c r="GF216" s="126">
        <f t="shared" si="55"/>
        <v>0</v>
      </c>
      <c r="GG216" s="126" t="str">
        <f t="shared" si="56"/>
        <v/>
      </c>
      <c r="GH216" s="126">
        <f t="shared" si="57"/>
        <v>0</v>
      </c>
      <c r="GI216" s="112"/>
      <c r="GJ216" s="116"/>
      <c r="GK216" s="119">
        <f t="shared" si="58"/>
        <v>13.03813098</v>
      </c>
      <c r="GL216" s="128">
        <f>1+((GK216-MIN(ratings_sums))*(4)/(MAX(ratings_sums) - MIN(ratings_sums)))</f>
        <v>2.793215887</v>
      </c>
    </row>
    <row r="217" ht="15.75" customHeight="1">
      <c r="A217" s="161" t="s">
        <v>1128</v>
      </c>
      <c r="B217" s="15">
        <v>1794140.0</v>
      </c>
      <c r="C217" s="162" t="s">
        <v>1458</v>
      </c>
      <c r="D217" s="163">
        <v>43822.42986111111</v>
      </c>
      <c r="E217" s="15" t="s">
        <v>381</v>
      </c>
      <c r="F217" s="164" t="s">
        <v>1459</v>
      </c>
      <c r="G217" s="164" t="s">
        <v>1460</v>
      </c>
      <c r="H217" s="210">
        <v>43818.0</v>
      </c>
      <c r="I217" s="162" t="s">
        <v>1461</v>
      </c>
      <c r="J217" s="162" t="s">
        <v>1458</v>
      </c>
      <c r="K217" s="15" t="s">
        <v>354</v>
      </c>
      <c r="L217" s="15" t="s">
        <v>390</v>
      </c>
      <c r="M217" s="15" t="s">
        <v>31</v>
      </c>
      <c r="N217" s="15" t="s">
        <v>82</v>
      </c>
      <c r="O217" s="15" t="s">
        <v>35</v>
      </c>
      <c r="Q217" s="15" t="s">
        <v>121</v>
      </c>
      <c r="R217" s="166"/>
      <c r="S217" s="120"/>
      <c r="T217" s="69">
        <v>3900000.0</v>
      </c>
      <c r="U217" s="69"/>
      <c r="V217" s="132"/>
      <c r="W217" s="96" t="str">
        <f t="shared" si="125"/>
        <v/>
      </c>
      <c r="X217" s="98">
        <f t="shared" si="126"/>
        <v>3900000</v>
      </c>
      <c r="Y217" s="99" t="str">
        <f t="shared" si="127"/>
        <v>$2M - $4M</v>
      </c>
      <c r="Z217" s="15" t="s">
        <v>36</v>
      </c>
      <c r="AA217" s="15" t="s">
        <v>123</v>
      </c>
      <c r="AB217" s="15" t="s">
        <v>38</v>
      </c>
      <c r="AC217" s="15" t="s">
        <v>493</v>
      </c>
      <c r="AD217" s="15" t="s">
        <v>89</v>
      </c>
      <c r="AE217" s="15" t="s">
        <v>89</v>
      </c>
      <c r="AF217" s="15" t="s">
        <v>469</v>
      </c>
      <c r="AG217" s="69">
        <v>1.49818E8</v>
      </c>
      <c r="AH217" s="97" t="str">
        <f t="shared" si="128"/>
        <v>$100M-$250M</v>
      </c>
      <c r="AI217" s="69">
        <v>1.49818E8</v>
      </c>
      <c r="AJ217" s="97" t="str">
        <f t="shared" si="129"/>
        <v>$100M-$250M</v>
      </c>
      <c r="AK217" s="167">
        <v>0.53</v>
      </c>
      <c r="AL217" s="88" t="str">
        <f t="shared" si="130"/>
        <v>&gt; 50%</v>
      </c>
      <c r="AM217" s="15">
        <v>31.0</v>
      </c>
      <c r="AN217" s="15" t="s">
        <v>89</v>
      </c>
      <c r="AO217" s="15" t="s">
        <v>89</v>
      </c>
      <c r="AP217" s="15" t="s">
        <v>40</v>
      </c>
      <c r="AQ217" s="168"/>
      <c r="AR217" s="168"/>
      <c r="AS217" s="15" t="s">
        <v>469</v>
      </c>
      <c r="AT217" s="15" t="s">
        <v>469</v>
      </c>
      <c r="AU217" s="15" t="s">
        <v>493</v>
      </c>
      <c r="AV217" s="15" t="s">
        <v>855</v>
      </c>
      <c r="AW217" s="69">
        <v>18261.0</v>
      </c>
      <c r="AX217" s="96" t="str">
        <f t="shared" si="131"/>
        <v>$10K - $50K</v>
      </c>
      <c r="AY217" s="69">
        <v>7556.0</v>
      </c>
      <c r="AZ217" s="69">
        <v>238800.0</v>
      </c>
      <c r="BA217" s="103" t="str">
        <f t="shared" si="132"/>
        <v>$100K - $500K</v>
      </c>
      <c r="BB217" s="103">
        <f t="shared" si="133"/>
        <v>0.03164154104</v>
      </c>
      <c r="BC217" s="103" t="str">
        <f t="shared" si="134"/>
        <v>&lt; 10%</v>
      </c>
      <c r="BD217" s="15" t="s">
        <v>107</v>
      </c>
      <c r="BF217" s="15" t="s">
        <v>469</v>
      </c>
      <c r="BG217" s="15">
        <v>0.0</v>
      </c>
      <c r="BH217" s="15">
        <v>2.0</v>
      </c>
      <c r="BI217" s="15" t="s">
        <v>493</v>
      </c>
      <c r="BJ217" s="15" t="s">
        <v>469</v>
      </c>
      <c r="BK217" s="15" t="s">
        <v>469</v>
      </c>
      <c r="BL217" s="15" t="s">
        <v>469</v>
      </c>
      <c r="BM217" s="15">
        <v>3.0</v>
      </c>
      <c r="BN217" s="15">
        <v>3.0</v>
      </c>
      <c r="BO217" s="15">
        <v>0.0</v>
      </c>
      <c r="BP217" s="15">
        <v>0.0</v>
      </c>
      <c r="BQ217" s="108"/>
      <c r="BR217" s="15">
        <v>24.0</v>
      </c>
      <c r="BS217" s="15">
        <v>1.0</v>
      </c>
      <c r="BT217" s="15">
        <v>0.0</v>
      </c>
      <c r="BU217" s="15">
        <v>42.0</v>
      </c>
      <c r="BV217" s="15" t="s">
        <v>469</v>
      </c>
      <c r="BW217" s="108"/>
      <c r="BX217" s="15">
        <v>20.0</v>
      </c>
      <c r="BY217" s="15">
        <v>3.0</v>
      </c>
      <c r="BZ217" s="15">
        <v>0.0</v>
      </c>
      <c r="CA217" s="15">
        <v>46.0</v>
      </c>
      <c r="CB217" s="15" t="s">
        <v>469</v>
      </c>
      <c r="CC217" s="108"/>
      <c r="CI217" s="108"/>
      <c r="CO217" s="108"/>
      <c r="CU217" s="108"/>
      <c r="DA217" s="108"/>
      <c r="DG217" s="108"/>
      <c r="DM217" s="108"/>
      <c r="DS217" s="108"/>
      <c r="DT217" s="108"/>
      <c r="DU217" s="108"/>
      <c r="DW217" s="109"/>
      <c r="DX217" s="110">
        <f t="shared" si="13"/>
        <v>22</v>
      </c>
      <c r="DY217" s="111">
        <f t="shared" ref="DY217:DZ217" si="493">sum(BS217,BY217,CE217,CK217,CQ217,CW217,DC217,DI217,DO217)</f>
        <v>4</v>
      </c>
      <c r="DZ217" s="111">
        <f t="shared" si="493"/>
        <v>0</v>
      </c>
      <c r="EA217" s="110">
        <f t="shared" si="15"/>
        <v>44</v>
      </c>
      <c r="EB217" s="99" t="str">
        <f t="shared" si="16"/>
        <v>35 - 54</v>
      </c>
      <c r="EC217" s="112"/>
      <c r="ED217" s="113">
        <f t="shared" si="17"/>
        <v>4.6</v>
      </c>
      <c r="EE217" s="114" t="str">
        <f>IF(V217 &lt;&gt; "", 1+((V217-MIN(discount_rates))*(4)/(MAX(discount_rates) - MIN(discount_rates))), "")</f>
        <v/>
      </c>
      <c r="EF217" s="114" t="str">
        <f>IF(Q217="Debt", (1+((S217-MIN(interest_rates))*(4)/(MAX(interest_rates) - MIN(interest_rates)))), "")</f>
        <v/>
      </c>
      <c r="EG217" s="114" t="str">
        <f>IF(OR(Q217="Revenue Share", Q217="Profit Share"), (1+((R217-MIN(return_mutiples))*(4)/(MAX(return_mutiples) - MIN(return_mutiples)))), "")</f>
        <v/>
      </c>
      <c r="EH217" s="115">
        <f t="shared" si="18"/>
        <v>4.6</v>
      </c>
      <c r="EI217" s="116" t="str">
        <f t="shared" si="19"/>
        <v>Equity - Common</v>
      </c>
      <c r="EJ217" s="117">
        <f t="shared" si="20"/>
        <v>0.3287671233</v>
      </c>
      <c r="EK217" s="116" t="str">
        <f t="shared" si="21"/>
        <v>Early</v>
      </c>
      <c r="EL217" s="112"/>
      <c r="EM217" s="118">
        <f t="shared" si="22"/>
        <v>1.9</v>
      </c>
      <c r="EN217" s="118">
        <f t="shared" si="23"/>
        <v>5</v>
      </c>
      <c r="EO217" s="119">
        <f t="shared" si="24"/>
        <v>6.9</v>
      </c>
      <c r="EP217" s="115">
        <f>1+((EO217-MIN(market_ratings_sums))*(4)/(MAX(market_ratings_sums) - MIN(market_ratings_sums)))</f>
        <v>3.947368421</v>
      </c>
      <c r="EQ217" s="116" t="str">
        <f t="shared" si="25"/>
        <v>No</v>
      </c>
      <c r="ER217" s="112"/>
      <c r="ES217" s="123">
        <f>1+((DX217-MIN(industry_experiences))*(4)/(MAX(industry_experiences) - MIN(industry_experiences)))</f>
        <v>3.095238095</v>
      </c>
      <c r="ET217" s="123">
        <f>1+((DY217-MIN(previous_startups))*(4)/(MAX(previous_startups) - MIN(previous_startups)))</f>
        <v>2.777777778</v>
      </c>
      <c r="EU217" s="123">
        <f>1+((DZ217-MIN(exits))*(4)/(MAX(exits) - MIN(exits)))</f>
        <v>1</v>
      </c>
      <c r="EV217" s="119">
        <f t="shared" si="26"/>
        <v>6.873015873</v>
      </c>
      <c r="EW217" s="124">
        <f>1+((EV217-MIN(team_ratings_sums))*(4)/(MAX(team_ratings_sums) - MIN(team_ratings_sums)))</f>
        <v>3.12173913</v>
      </c>
      <c r="EX217" s="116" t="str">
        <f t="shared" si="27"/>
        <v>35 - 54</v>
      </c>
      <c r="EY217" s="125">
        <f t="shared" si="28"/>
        <v>0.6849315068</v>
      </c>
      <c r="EZ217" s="116">
        <f t="shared" si="29"/>
        <v>2</v>
      </c>
      <c r="FA217" s="125">
        <f t="shared" si="30"/>
        <v>0.4520547945</v>
      </c>
      <c r="FB217" s="116">
        <f t="shared" si="31"/>
        <v>3</v>
      </c>
      <c r="FC217" s="125">
        <f t="shared" si="32"/>
        <v>0.08219178082</v>
      </c>
      <c r="FD217" s="116" t="str">
        <f t="shared" si="33"/>
        <v>Yes</v>
      </c>
      <c r="FE217" s="125">
        <f t="shared" si="34"/>
        <v>0.2465753425</v>
      </c>
      <c r="FF217" s="116" t="str">
        <f t="shared" ref="FF217:FH217" si="494">BJ217</f>
        <v>No</v>
      </c>
      <c r="FG217" s="116" t="str">
        <f t="shared" si="494"/>
        <v>No</v>
      </c>
      <c r="FH217" s="116" t="str">
        <f t="shared" si="494"/>
        <v>No</v>
      </c>
      <c r="FI217" s="112"/>
      <c r="FJ217" s="116" t="str">
        <f t="shared" si="36"/>
        <v>Transactional</v>
      </c>
      <c r="FK217" s="125">
        <f t="shared" si="37"/>
        <v>0.602739726</v>
      </c>
      <c r="FL217" s="116" t="str">
        <f t="shared" si="38"/>
        <v>B2B/B2C</v>
      </c>
      <c r="FM217" s="125">
        <f t="shared" si="39"/>
        <v>0.3287671233</v>
      </c>
      <c r="FN217" s="116" t="str">
        <f t="shared" si="40"/>
        <v>Low</v>
      </c>
      <c r="FO217" s="125">
        <f t="shared" si="41"/>
        <v>0.4383561644</v>
      </c>
      <c r="FP217" s="116" t="str">
        <f t="shared" si="42"/>
        <v>Low</v>
      </c>
      <c r="FQ217" s="125">
        <f t="shared" si="43"/>
        <v>0.3561643836</v>
      </c>
      <c r="FR217" s="112"/>
      <c r="FS217" s="123">
        <f t="shared" si="44"/>
        <v>5</v>
      </c>
      <c r="FT217" s="123">
        <f t="shared" si="45"/>
        <v>1.4</v>
      </c>
      <c r="FU217" s="123">
        <f t="shared" si="46"/>
        <v>5</v>
      </c>
      <c r="FV217" s="123">
        <f t="shared" si="47"/>
        <v>3.7</v>
      </c>
      <c r="FW217" s="119">
        <f t="shared" si="48"/>
        <v>15.1</v>
      </c>
      <c r="FX217" s="115">
        <f>1+((FW217-MIN(performance_ratings_sums))*(4)/(MAX(performance_ratings_sums) - MIN(performance_ratings_sums)))</f>
        <v>4.140186916</v>
      </c>
      <c r="FY217" s="116" t="str">
        <f t="shared" si="49"/>
        <v>Pre-Profit</v>
      </c>
      <c r="FZ217" s="126">
        <f t="shared" si="50"/>
        <v>0.4931506849</v>
      </c>
      <c r="GA217" s="112"/>
      <c r="GB217" s="127">
        <f t="shared" si="51"/>
        <v>1</v>
      </c>
      <c r="GC217" s="116" t="str">
        <f t="shared" si="52"/>
        <v>No</v>
      </c>
      <c r="GD217" s="126">
        <f t="shared" si="53"/>
        <v>0.7671232877</v>
      </c>
      <c r="GE217" s="126" t="str">
        <f t="shared" si="54"/>
        <v/>
      </c>
      <c r="GF217" s="126">
        <f t="shared" si="55"/>
        <v>0</v>
      </c>
      <c r="GG217" s="126" t="str">
        <f t="shared" si="56"/>
        <v/>
      </c>
      <c r="GH217" s="126">
        <f t="shared" si="57"/>
        <v>0</v>
      </c>
      <c r="GI217" s="112"/>
      <c r="GJ217" s="116"/>
      <c r="GK217" s="119">
        <f t="shared" si="58"/>
        <v>16.80929447</v>
      </c>
      <c r="GL217" s="128">
        <f>1+((GK217-MIN(ratings_sums))*(4)/(MAX(ratings_sums) - MIN(ratings_sums)))</f>
        <v>3.950359568</v>
      </c>
    </row>
    <row r="218" ht="15.75" customHeight="1">
      <c r="A218" s="161" t="s">
        <v>1128</v>
      </c>
      <c r="B218" s="15">
        <v>1796599.0</v>
      </c>
      <c r="C218" s="162" t="s">
        <v>1462</v>
      </c>
      <c r="D218" s="163">
        <v>43826.43541666667</v>
      </c>
      <c r="E218" s="15" t="s">
        <v>369</v>
      </c>
      <c r="F218" s="164" t="s">
        <v>1463</v>
      </c>
      <c r="G218" s="164" t="s">
        <v>1464</v>
      </c>
      <c r="H218" s="210">
        <v>43825.0</v>
      </c>
      <c r="I218" s="162" t="s">
        <v>1465</v>
      </c>
      <c r="J218" s="162" t="s">
        <v>1462</v>
      </c>
      <c r="K218" s="15" t="s">
        <v>354</v>
      </c>
      <c r="L218" s="15" t="s">
        <v>390</v>
      </c>
      <c r="M218" s="15" t="s">
        <v>81</v>
      </c>
      <c r="N218" s="15" t="s">
        <v>101</v>
      </c>
      <c r="O218" s="15" t="s">
        <v>35</v>
      </c>
      <c r="Q218" s="15" t="s">
        <v>195</v>
      </c>
      <c r="R218" s="166"/>
      <c r="S218" s="120"/>
      <c r="T218" s="69"/>
      <c r="U218" s="69">
        <v>4000000.0</v>
      </c>
      <c r="V218" s="132">
        <v>0.2</v>
      </c>
      <c r="W218" s="96">
        <f t="shared" si="125"/>
        <v>3200000</v>
      </c>
      <c r="X218" s="98">
        <f t="shared" si="126"/>
        <v>3200000</v>
      </c>
      <c r="Y218" s="99" t="str">
        <f t="shared" si="127"/>
        <v>$2M - $4M</v>
      </c>
      <c r="Z218" s="15" t="s">
        <v>36</v>
      </c>
      <c r="AA218" s="15" t="s">
        <v>123</v>
      </c>
      <c r="AB218" s="15" t="s">
        <v>38</v>
      </c>
      <c r="AC218" s="15" t="s">
        <v>493</v>
      </c>
      <c r="AD218" s="15" t="s">
        <v>89</v>
      </c>
      <c r="AE218" s="15" t="s">
        <v>89</v>
      </c>
      <c r="AF218" s="15" t="s">
        <v>469</v>
      </c>
      <c r="AG218" s="69">
        <v>2.0E11</v>
      </c>
      <c r="AH218" s="97" t="str">
        <f t="shared" si="128"/>
        <v>$100B-$250B</v>
      </c>
      <c r="AI218" s="69">
        <v>1.02E10</v>
      </c>
      <c r="AJ218" s="97" t="str">
        <f t="shared" si="129"/>
        <v>$10B-$25B</v>
      </c>
      <c r="AK218" s="167">
        <v>0.19</v>
      </c>
      <c r="AL218" s="88" t="str">
        <f t="shared" si="130"/>
        <v>10%-20%</v>
      </c>
      <c r="AM218" s="32">
        <v>2650.0</v>
      </c>
      <c r="AN218" s="15" t="s">
        <v>89</v>
      </c>
      <c r="AO218" s="15" t="s">
        <v>89</v>
      </c>
      <c r="AP218" s="15" t="s">
        <v>40</v>
      </c>
      <c r="AQ218" s="168"/>
      <c r="AR218" s="168"/>
      <c r="AS218" s="15" t="s">
        <v>469</v>
      </c>
      <c r="AT218" s="15" t="s">
        <v>469</v>
      </c>
      <c r="AU218" s="15" t="s">
        <v>493</v>
      </c>
      <c r="AV218" s="15" t="s">
        <v>493</v>
      </c>
      <c r="AW218" s="69">
        <v>161134.0</v>
      </c>
      <c r="AX218" s="96" t="str">
        <f t="shared" si="131"/>
        <v>$100K - $500K</v>
      </c>
      <c r="AY218" s="69">
        <v>2150.0</v>
      </c>
      <c r="AZ218" s="69">
        <v>234080.0</v>
      </c>
      <c r="BA218" s="103" t="str">
        <f t="shared" si="132"/>
        <v>$100K - $500K</v>
      </c>
      <c r="BB218" s="103">
        <f t="shared" si="133"/>
        <v>0.009184894053</v>
      </c>
      <c r="BC218" s="103" t="str">
        <f t="shared" si="134"/>
        <v>&lt; 10%</v>
      </c>
      <c r="BD218" s="15" t="s">
        <v>124</v>
      </c>
      <c r="BF218" s="15" t="s">
        <v>493</v>
      </c>
      <c r="BG218" s="15">
        <v>0.0</v>
      </c>
      <c r="BH218" s="15">
        <v>2.0</v>
      </c>
      <c r="BI218" s="15" t="s">
        <v>493</v>
      </c>
      <c r="BJ218" s="15" t="s">
        <v>493</v>
      </c>
      <c r="BK218" s="15" t="s">
        <v>469</v>
      </c>
      <c r="BL218" s="15" t="s">
        <v>469</v>
      </c>
      <c r="BM218" s="15">
        <v>3.0</v>
      </c>
      <c r="BN218" s="15">
        <v>2.0</v>
      </c>
      <c r="BO218" s="15">
        <v>1.0</v>
      </c>
      <c r="BP218" s="15">
        <v>0.0</v>
      </c>
      <c r="BQ218" s="108"/>
      <c r="BR218" s="15">
        <v>3.0</v>
      </c>
      <c r="BS218" s="15">
        <v>2.0</v>
      </c>
      <c r="BT218" s="15">
        <v>1.0</v>
      </c>
      <c r="BU218" s="15">
        <v>41.0</v>
      </c>
      <c r="BV218" s="15" t="s">
        <v>469</v>
      </c>
      <c r="BW218" s="108"/>
      <c r="BX218" s="15">
        <v>1.0</v>
      </c>
      <c r="BY218" s="15">
        <v>1.0</v>
      </c>
      <c r="BZ218" s="15">
        <v>1.0</v>
      </c>
      <c r="CA218" s="15">
        <v>34.0</v>
      </c>
      <c r="CB218" s="15" t="s">
        <v>493</v>
      </c>
      <c r="CC218" s="108"/>
      <c r="CI218" s="108"/>
      <c r="CO218" s="108"/>
      <c r="CU218" s="108"/>
      <c r="DA218" s="108"/>
      <c r="DG218" s="108"/>
      <c r="DM218" s="108"/>
      <c r="DS218" s="108"/>
      <c r="DT218" s="108"/>
      <c r="DU218" s="108"/>
      <c r="DW218" s="109"/>
      <c r="DX218" s="110">
        <f t="shared" si="13"/>
        <v>2</v>
      </c>
      <c r="DY218" s="111">
        <f t="shared" ref="DY218:DZ218" si="495">sum(BS218,BY218,CE218,CK218,CQ218,CW218,DC218,DI218,DO218)</f>
        <v>3</v>
      </c>
      <c r="DZ218" s="111">
        <f t="shared" si="495"/>
        <v>2</v>
      </c>
      <c r="EA218" s="110">
        <f t="shared" si="15"/>
        <v>37.5</v>
      </c>
      <c r="EB218" s="99" t="str">
        <f t="shared" si="16"/>
        <v>35 - 54</v>
      </c>
      <c r="EC218" s="112"/>
      <c r="ED218" s="113">
        <f t="shared" si="17"/>
        <v>4.6</v>
      </c>
      <c r="EE218" s="114">
        <f>IF(V218 &lt;&gt; "", 1+((V218-MIN(discount_rates))*(4)/(MAX(discount_rates) - MIN(discount_rates))), "")</f>
        <v>3.105263158</v>
      </c>
      <c r="EF218" s="114" t="str">
        <f>IF(Q218="Debt", (1+((S218-MIN(interest_rates))*(4)/(MAX(interest_rates) - MIN(interest_rates)))), "")</f>
        <v/>
      </c>
      <c r="EG218" s="114" t="str">
        <f>IF(OR(Q218="Revenue Share", Q218="Profit Share"), (1+((R218-MIN(return_mutiples))*(4)/(MAX(return_mutiples) - MIN(return_mutiples)))), "")</f>
        <v/>
      </c>
      <c r="EH218" s="115">
        <f t="shared" si="18"/>
        <v>4.6</v>
      </c>
      <c r="EI218" s="116" t="str">
        <f t="shared" si="19"/>
        <v>SAFE</v>
      </c>
      <c r="EJ218" s="117">
        <f t="shared" si="20"/>
        <v>0.3561643836</v>
      </c>
      <c r="EK218" s="116" t="str">
        <f t="shared" si="21"/>
        <v>Growth</v>
      </c>
      <c r="EL218" s="112"/>
      <c r="EM218" s="118">
        <f t="shared" si="22"/>
        <v>3.3</v>
      </c>
      <c r="EN218" s="118">
        <f t="shared" si="23"/>
        <v>2.3</v>
      </c>
      <c r="EO218" s="119">
        <f t="shared" si="24"/>
        <v>5.6</v>
      </c>
      <c r="EP218" s="115">
        <f>1+((EO218-MIN(market_ratings_sums))*(4)/(MAX(market_ratings_sums) - MIN(market_ratings_sums)))</f>
        <v>3.035087719</v>
      </c>
      <c r="EQ218" s="116" t="str">
        <f t="shared" si="25"/>
        <v>No</v>
      </c>
      <c r="ER218" s="112"/>
      <c r="ES218" s="123">
        <f>1+((DX218-MIN(industry_experiences))*(4)/(MAX(industry_experiences) - MIN(industry_experiences)))</f>
        <v>1.19047619</v>
      </c>
      <c r="ET218" s="123">
        <f>1+((DY218-MIN(previous_startups))*(4)/(MAX(previous_startups) - MIN(previous_startups)))</f>
        <v>2.333333333</v>
      </c>
      <c r="EU218" s="123">
        <f>1+((DZ218-MIN(exits))*(4)/(MAX(exits) - MIN(exits)))</f>
        <v>3</v>
      </c>
      <c r="EV218" s="119">
        <f t="shared" si="26"/>
        <v>6.523809524</v>
      </c>
      <c r="EW218" s="124">
        <f>1+((EV218-MIN(team_ratings_sums))*(4)/(MAX(team_ratings_sums) - MIN(team_ratings_sums)))</f>
        <v>2.930434783</v>
      </c>
      <c r="EX218" s="116" t="str">
        <f t="shared" si="27"/>
        <v>35 - 54</v>
      </c>
      <c r="EY218" s="125">
        <f t="shared" si="28"/>
        <v>0.6849315068</v>
      </c>
      <c r="EZ218" s="116">
        <f t="shared" si="29"/>
        <v>2</v>
      </c>
      <c r="FA218" s="125">
        <f t="shared" si="30"/>
        <v>0.4520547945</v>
      </c>
      <c r="FB218" s="116">
        <f t="shared" si="31"/>
        <v>2</v>
      </c>
      <c r="FC218" s="125">
        <f t="shared" si="32"/>
        <v>0.1369863014</v>
      </c>
      <c r="FD218" s="116" t="str">
        <f t="shared" si="33"/>
        <v>Yes</v>
      </c>
      <c r="FE218" s="125">
        <f t="shared" si="34"/>
        <v>0.2465753425</v>
      </c>
      <c r="FF218" s="116" t="str">
        <f t="shared" ref="FF218:FH218" si="496">BJ218</f>
        <v>Yes</v>
      </c>
      <c r="FG218" s="116" t="str">
        <f t="shared" si="496"/>
        <v>No</v>
      </c>
      <c r="FH218" s="116" t="str">
        <f t="shared" si="496"/>
        <v>No</v>
      </c>
      <c r="FI218" s="112"/>
      <c r="FJ218" s="116" t="str">
        <f t="shared" si="36"/>
        <v>Transactional</v>
      </c>
      <c r="FK218" s="125">
        <f t="shared" si="37"/>
        <v>0.602739726</v>
      </c>
      <c r="FL218" s="116" t="str">
        <f t="shared" si="38"/>
        <v>B2B/B2C</v>
      </c>
      <c r="FM218" s="125">
        <f t="shared" si="39"/>
        <v>0.3287671233</v>
      </c>
      <c r="FN218" s="116" t="str">
        <f t="shared" si="40"/>
        <v>Low</v>
      </c>
      <c r="FO218" s="125">
        <f t="shared" si="41"/>
        <v>0.4383561644</v>
      </c>
      <c r="FP218" s="116" t="str">
        <f t="shared" si="42"/>
        <v>Low</v>
      </c>
      <c r="FQ218" s="125">
        <f t="shared" si="43"/>
        <v>0.3561643836</v>
      </c>
      <c r="FR218" s="112"/>
      <c r="FS218" s="123">
        <f t="shared" si="44"/>
        <v>5</v>
      </c>
      <c r="FT218" s="123">
        <f t="shared" si="45"/>
        <v>2.3</v>
      </c>
      <c r="FU218" s="123">
        <f t="shared" si="46"/>
        <v>5</v>
      </c>
      <c r="FV218" s="123">
        <f t="shared" si="47"/>
        <v>3.7</v>
      </c>
      <c r="FW218" s="119">
        <f t="shared" si="48"/>
        <v>16</v>
      </c>
      <c r="FX218" s="115">
        <f>1+((FW218-MIN(performance_ratings_sums))*(4)/(MAX(performance_ratings_sums) - MIN(performance_ratings_sums)))</f>
        <v>4.476635514</v>
      </c>
      <c r="FY218" s="116" t="str">
        <f t="shared" si="49"/>
        <v>Profitable</v>
      </c>
      <c r="FZ218" s="126">
        <f t="shared" si="50"/>
        <v>0.06849315068</v>
      </c>
      <c r="GA218" s="112"/>
      <c r="GB218" s="127">
        <f t="shared" si="51"/>
        <v>1</v>
      </c>
      <c r="GC218" s="116" t="str">
        <f t="shared" si="52"/>
        <v>No</v>
      </c>
      <c r="GD218" s="126">
        <f t="shared" si="53"/>
        <v>0.7671232877</v>
      </c>
      <c r="GE218" s="126" t="str">
        <f t="shared" si="54"/>
        <v/>
      </c>
      <c r="GF218" s="126">
        <f t="shared" si="55"/>
        <v>0</v>
      </c>
      <c r="GG218" s="126" t="str">
        <f t="shared" si="56"/>
        <v/>
      </c>
      <c r="GH218" s="126">
        <f t="shared" si="57"/>
        <v>0</v>
      </c>
      <c r="GI218" s="112"/>
      <c r="GJ218" s="116"/>
      <c r="GK218" s="119">
        <f t="shared" si="58"/>
        <v>16.04215802</v>
      </c>
      <c r="GL218" s="128">
        <f>1+((GK218-MIN(ratings_sums))*(4)/(MAX(ratings_sums) - MIN(ratings_sums)))</f>
        <v>3.714971444</v>
      </c>
    </row>
    <row r="219" ht="15.75" customHeight="1">
      <c r="A219" s="161" t="s">
        <v>1128</v>
      </c>
      <c r="B219" s="15">
        <v>1769091.0</v>
      </c>
      <c r="C219" s="162" t="s">
        <v>1466</v>
      </c>
      <c r="D219" s="163">
        <v>43829.40902777778</v>
      </c>
      <c r="E219" s="15" t="s">
        <v>369</v>
      </c>
      <c r="F219" s="164" t="s">
        <v>1467</v>
      </c>
      <c r="G219" s="164" t="s">
        <v>1468</v>
      </c>
      <c r="H219" s="210">
        <v>43826.0</v>
      </c>
      <c r="I219" s="162" t="s">
        <v>1469</v>
      </c>
      <c r="J219" s="162" t="s">
        <v>1466</v>
      </c>
      <c r="K219" s="15" t="s">
        <v>472</v>
      </c>
      <c r="L219" s="15" t="s">
        <v>221</v>
      </c>
      <c r="M219" s="15" t="s">
        <v>31</v>
      </c>
      <c r="N219" s="15" t="s">
        <v>101</v>
      </c>
      <c r="O219" s="15" t="s">
        <v>35</v>
      </c>
      <c r="Q219" s="15" t="s">
        <v>195</v>
      </c>
      <c r="R219" s="166"/>
      <c r="S219" s="120"/>
      <c r="T219" s="69"/>
      <c r="U219" s="69">
        <v>2.0E7</v>
      </c>
      <c r="V219" s="132">
        <v>0.1</v>
      </c>
      <c r="W219" s="96">
        <f t="shared" si="125"/>
        <v>18000000</v>
      </c>
      <c r="X219" s="98">
        <f t="shared" si="126"/>
        <v>18000000</v>
      </c>
      <c r="Y219" s="99" t="str">
        <f t="shared" si="127"/>
        <v>$16M - $18M</v>
      </c>
      <c r="Z219" s="15" t="s">
        <v>86</v>
      </c>
      <c r="AA219" s="15" t="s">
        <v>87</v>
      </c>
      <c r="AB219" s="15" t="s">
        <v>88</v>
      </c>
      <c r="AC219" s="15" t="s">
        <v>493</v>
      </c>
      <c r="AD219" s="15" t="s">
        <v>39</v>
      </c>
      <c r="AE219" s="15" t="s">
        <v>89</v>
      </c>
      <c r="AF219" s="15" t="s">
        <v>469</v>
      </c>
      <c r="AG219" s="69">
        <v>2.98E13</v>
      </c>
      <c r="AH219" s="97" t="str">
        <f t="shared" si="128"/>
        <v>&gt; $1T</v>
      </c>
      <c r="AI219" s="69">
        <v>2.98E13</v>
      </c>
      <c r="AJ219" s="97" t="str">
        <f t="shared" si="129"/>
        <v>&gt; $1T</v>
      </c>
      <c r="AK219" s="167">
        <v>0.11</v>
      </c>
      <c r="AL219" s="88" t="str">
        <f t="shared" si="130"/>
        <v>10%-20%</v>
      </c>
      <c r="AM219" s="32">
        <v>12993.0</v>
      </c>
      <c r="AN219" s="15" t="s">
        <v>39</v>
      </c>
      <c r="AO219" s="15" t="s">
        <v>39</v>
      </c>
      <c r="AP219" s="15" t="s">
        <v>90</v>
      </c>
      <c r="AQ219" s="168"/>
      <c r="AR219" s="168"/>
      <c r="AS219" s="15" t="s">
        <v>469</v>
      </c>
      <c r="AT219" s="15" t="s">
        <v>469</v>
      </c>
      <c r="AU219" s="15" t="s">
        <v>493</v>
      </c>
      <c r="AV219" s="15" t="s">
        <v>493</v>
      </c>
      <c r="AW219" s="69">
        <v>50895.0</v>
      </c>
      <c r="AX219" s="96" t="str">
        <f t="shared" si="131"/>
        <v>$50K - $100K</v>
      </c>
      <c r="AY219" s="69">
        <v>117207.0</v>
      </c>
      <c r="AZ219" s="69">
        <v>3711000.0</v>
      </c>
      <c r="BA219" s="103" t="str">
        <f t="shared" si="132"/>
        <v>$3M - $4M</v>
      </c>
      <c r="BB219" s="103">
        <f t="shared" si="133"/>
        <v>0.03158367017</v>
      </c>
      <c r="BC219" s="103" t="str">
        <f t="shared" si="134"/>
        <v>&lt; 10%</v>
      </c>
      <c r="BD219" s="15" t="s">
        <v>107</v>
      </c>
      <c r="BF219" s="15" t="s">
        <v>493</v>
      </c>
      <c r="BG219" s="15">
        <v>1.0</v>
      </c>
      <c r="BH219" s="15">
        <v>4.0</v>
      </c>
      <c r="BI219" s="15" t="s">
        <v>493</v>
      </c>
      <c r="BJ219" s="15" t="s">
        <v>469</v>
      </c>
      <c r="BK219" s="15" t="s">
        <v>493</v>
      </c>
      <c r="BL219" s="15" t="s">
        <v>469</v>
      </c>
      <c r="BM219" s="15">
        <v>12.0</v>
      </c>
      <c r="BN219" s="15">
        <v>14.0</v>
      </c>
      <c r="BO219" s="15">
        <v>1.0</v>
      </c>
      <c r="BP219" s="15">
        <v>0.0</v>
      </c>
      <c r="BQ219" s="108"/>
      <c r="BR219" s="15">
        <v>20.0</v>
      </c>
      <c r="BS219" s="15">
        <v>2.0</v>
      </c>
      <c r="BT219" s="15">
        <v>2.0</v>
      </c>
      <c r="BU219" s="15">
        <v>42.0</v>
      </c>
      <c r="BV219" s="15" t="s">
        <v>493</v>
      </c>
      <c r="BW219" s="108"/>
      <c r="BX219" s="15">
        <v>2.0</v>
      </c>
      <c r="BY219" s="15">
        <v>1.0</v>
      </c>
      <c r="BZ219" s="15">
        <v>0.0</v>
      </c>
      <c r="CA219" s="15">
        <v>36.0</v>
      </c>
      <c r="CB219" s="15" t="s">
        <v>493</v>
      </c>
      <c r="CC219" s="108"/>
      <c r="CD219" s="15">
        <v>9.0</v>
      </c>
      <c r="CE219" s="15">
        <v>1.0</v>
      </c>
      <c r="CF219" s="15">
        <v>1.0</v>
      </c>
      <c r="CG219" s="15">
        <v>35.0</v>
      </c>
      <c r="CH219" s="15" t="s">
        <v>469</v>
      </c>
      <c r="CI219" s="108"/>
      <c r="CJ219" s="15">
        <v>2.0</v>
      </c>
      <c r="CK219" s="15">
        <v>0.0</v>
      </c>
      <c r="CL219" s="15">
        <v>0.0</v>
      </c>
      <c r="CM219" s="15">
        <v>27.0</v>
      </c>
      <c r="CN219" s="15" t="s">
        <v>493</v>
      </c>
      <c r="CO219" s="108"/>
      <c r="CU219" s="108"/>
      <c r="DA219" s="108"/>
      <c r="DG219" s="108"/>
      <c r="DM219" s="108"/>
      <c r="DS219" s="108"/>
      <c r="DT219" s="108"/>
      <c r="DU219" s="108"/>
      <c r="DW219" s="109"/>
      <c r="DX219" s="110">
        <f t="shared" si="13"/>
        <v>8.25</v>
      </c>
      <c r="DY219" s="111">
        <f t="shared" ref="DY219:DZ219" si="497">sum(BS219,BY219,CE219,CK219,CQ219,CW219,DC219,DI219,DO219)</f>
        <v>4</v>
      </c>
      <c r="DZ219" s="111">
        <f t="shared" si="497"/>
        <v>3</v>
      </c>
      <c r="EA219" s="110">
        <f t="shared" si="15"/>
        <v>35</v>
      </c>
      <c r="EB219" s="99" t="str">
        <f t="shared" si="16"/>
        <v>35 - 54</v>
      </c>
      <c r="EC219" s="112"/>
      <c r="ED219" s="113">
        <f t="shared" si="17"/>
        <v>3.3</v>
      </c>
      <c r="EE219" s="114">
        <f>IF(V219 &lt;&gt; "", 1+((V219-MIN(discount_rates))*(4)/(MAX(discount_rates) - MIN(discount_rates))), "")</f>
        <v>2.052631579</v>
      </c>
      <c r="EF219" s="114" t="str">
        <f>IF(Q219="Debt", (1+((S219-MIN(interest_rates))*(4)/(MAX(interest_rates) - MIN(interest_rates)))), "")</f>
        <v/>
      </c>
      <c r="EG219" s="114" t="str">
        <f>IF(OR(Q219="Revenue Share", Q219="Profit Share"), (1+((R219-MIN(return_mutiples))*(4)/(MAX(return_mutiples) - MIN(return_mutiples)))), "")</f>
        <v/>
      </c>
      <c r="EH219" s="115">
        <f t="shared" si="18"/>
        <v>3.3</v>
      </c>
      <c r="EI219" s="116" t="str">
        <f t="shared" si="19"/>
        <v>SAFE</v>
      </c>
      <c r="EJ219" s="117">
        <f t="shared" si="20"/>
        <v>0.3561643836</v>
      </c>
      <c r="EK219" s="116" t="str">
        <f t="shared" si="21"/>
        <v>Early</v>
      </c>
      <c r="EL219" s="112"/>
      <c r="EM219" s="118">
        <f t="shared" si="22"/>
        <v>5</v>
      </c>
      <c r="EN219" s="118">
        <f t="shared" si="23"/>
        <v>2.3</v>
      </c>
      <c r="EO219" s="119">
        <f t="shared" si="24"/>
        <v>7.3</v>
      </c>
      <c r="EP219" s="115">
        <f>1+((EO219-MIN(market_ratings_sums))*(4)/(MAX(market_ratings_sums) - MIN(market_ratings_sums)))</f>
        <v>4.228070175</v>
      </c>
      <c r="EQ219" s="116" t="str">
        <f t="shared" si="25"/>
        <v>No</v>
      </c>
      <c r="ER219" s="112"/>
      <c r="ES219" s="123">
        <f>1+((DX219-MIN(industry_experiences))*(4)/(MAX(industry_experiences) - MIN(industry_experiences)))</f>
        <v>1.785714286</v>
      </c>
      <c r="ET219" s="123">
        <f>1+((DY219-MIN(previous_startups))*(4)/(MAX(previous_startups) - MIN(previous_startups)))</f>
        <v>2.777777778</v>
      </c>
      <c r="EU219" s="123">
        <f>1+((DZ219-MIN(exits))*(4)/(MAX(exits) - MIN(exits)))</f>
        <v>4</v>
      </c>
      <c r="EV219" s="119">
        <f t="shared" si="26"/>
        <v>8.563492063</v>
      </c>
      <c r="EW219" s="124">
        <f>1+((EV219-MIN(team_ratings_sums))*(4)/(MAX(team_ratings_sums) - MIN(team_ratings_sums)))</f>
        <v>4.047826087</v>
      </c>
      <c r="EX219" s="116" t="str">
        <f t="shared" si="27"/>
        <v>35 - 54</v>
      </c>
      <c r="EY219" s="125">
        <f t="shared" si="28"/>
        <v>0.6849315068</v>
      </c>
      <c r="EZ219" s="116">
        <f t="shared" si="29"/>
        <v>4</v>
      </c>
      <c r="FA219" s="125">
        <f t="shared" si="30"/>
        <v>0.05479452055</v>
      </c>
      <c r="FB219" s="116">
        <f t="shared" si="31"/>
        <v>14</v>
      </c>
      <c r="FC219" s="125">
        <f t="shared" si="32"/>
        <v>0.02739726027</v>
      </c>
      <c r="FD219" s="116" t="str">
        <f t="shared" si="33"/>
        <v>Yes</v>
      </c>
      <c r="FE219" s="125">
        <f t="shared" si="34"/>
        <v>0.2465753425</v>
      </c>
      <c r="FF219" s="116" t="str">
        <f t="shared" ref="FF219:FH219" si="498">BJ219</f>
        <v>No</v>
      </c>
      <c r="FG219" s="116" t="str">
        <f t="shared" si="498"/>
        <v>Yes</v>
      </c>
      <c r="FH219" s="116" t="str">
        <f t="shared" si="498"/>
        <v>No</v>
      </c>
      <c r="FI219" s="112"/>
      <c r="FJ219" s="116" t="str">
        <f t="shared" si="36"/>
        <v>Recurring</v>
      </c>
      <c r="FK219" s="125">
        <f t="shared" si="37"/>
        <v>0.397260274</v>
      </c>
      <c r="FL219" s="116" t="str">
        <f t="shared" si="38"/>
        <v>B2C</v>
      </c>
      <c r="FM219" s="125">
        <f t="shared" si="39"/>
        <v>0.397260274</v>
      </c>
      <c r="FN219" s="116" t="str">
        <f t="shared" si="40"/>
        <v>High</v>
      </c>
      <c r="FO219" s="125">
        <f t="shared" si="41"/>
        <v>0.5616438356</v>
      </c>
      <c r="FP219" s="116" t="str">
        <f t="shared" si="42"/>
        <v>Low</v>
      </c>
      <c r="FQ219" s="125">
        <f t="shared" si="43"/>
        <v>0.3561643836</v>
      </c>
      <c r="FR219" s="112"/>
      <c r="FS219" s="123">
        <f t="shared" si="44"/>
        <v>5</v>
      </c>
      <c r="FT219" s="123">
        <f t="shared" si="45"/>
        <v>1.9</v>
      </c>
      <c r="FU219" s="123">
        <f t="shared" si="46"/>
        <v>5</v>
      </c>
      <c r="FV219" s="123">
        <f t="shared" si="47"/>
        <v>1.9</v>
      </c>
      <c r="FW219" s="119">
        <f t="shared" si="48"/>
        <v>13.8</v>
      </c>
      <c r="FX219" s="115">
        <f>1+((FW219-MIN(performance_ratings_sums))*(4)/(MAX(performance_ratings_sums) - MIN(performance_ratings_sums)))</f>
        <v>3.654205607</v>
      </c>
      <c r="FY219" s="116" t="str">
        <f t="shared" si="49"/>
        <v>Pre-Profit</v>
      </c>
      <c r="FZ219" s="126">
        <f t="shared" si="50"/>
        <v>0.4931506849</v>
      </c>
      <c r="GA219" s="112"/>
      <c r="GB219" s="127">
        <f t="shared" si="51"/>
        <v>5</v>
      </c>
      <c r="GC219" s="116" t="str">
        <f t="shared" si="52"/>
        <v>No</v>
      </c>
      <c r="GD219" s="126">
        <f t="shared" si="53"/>
        <v>0.7671232877</v>
      </c>
      <c r="GE219" s="126" t="str">
        <f t="shared" si="54"/>
        <v/>
      </c>
      <c r="GF219" s="126">
        <f t="shared" si="55"/>
        <v>0</v>
      </c>
      <c r="GG219" s="126" t="str">
        <f t="shared" si="56"/>
        <v/>
      </c>
      <c r="GH219" s="126">
        <f t="shared" si="57"/>
        <v>0</v>
      </c>
      <c r="GI219" s="112"/>
      <c r="GJ219" s="116"/>
      <c r="GK219" s="119">
        <f t="shared" si="58"/>
        <v>20.23010187</v>
      </c>
      <c r="GL219" s="128">
        <f>1+((GK219-MIN(ratings_sums))*(4)/(MAX(ratings_sums) - MIN(ratings_sums)))</f>
        <v>5</v>
      </c>
    </row>
    <row r="220" ht="15.75" customHeight="1">
      <c r="A220" s="161" t="s">
        <v>1128</v>
      </c>
      <c r="B220" s="15">
        <v>1691657.0</v>
      </c>
      <c r="C220" s="162" t="s">
        <v>1470</v>
      </c>
      <c r="D220" s="163">
        <v>43829.41180555556</v>
      </c>
      <c r="E220" s="15" t="s">
        <v>369</v>
      </c>
      <c r="F220" s="164" t="s">
        <v>1471</v>
      </c>
      <c r="G220" s="164" t="s">
        <v>1472</v>
      </c>
      <c r="H220" s="210">
        <v>43825.0</v>
      </c>
      <c r="I220" s="162" t="s">
        <v>1473</v>
      </c>
      <c r="J220" s="162" t="s">
        <v>1470</v>
      </c>
      <c r="K220" s="15" t="s">
        <v>436</v>
      </c>
      <c r="L220" s="15" t="s">
        <v>355</v>
      </c>
      <c r="M220" s="15" t="s">
        <v>31</v>
      </c>
      <c r="N220" s="15" t="s">
        <v>82</v>
      </c>
      <c r="O220" s="15" t="s">
        <v>35</v>
      </c>
      <c r="Q220" s="15" t="s">
        <v>195</v>
      </c>
      <c r="R220" s="166"/>
      <c r="S220" s="120"/>
      <c r="T220" s="69"/>
      <c r="U220" s="69">
        <v>7000000.0</v>
      </c>
      <c r="V220" s="132">
        <v>0.2</v>
      </c>
      <c r="W220" s="96">
        <f t="shared" si="125"/>
        <v>5600000</v>
      </c>
      <c r="X220" s="98">
        <f t="shared" si="126"/>
        <v>5600000</v>
      </c>
      <c r="Y220" s="99" t="str">
        <f t="shared" si="127"/>
        <v>$4M - $6M</v>
      </c>
      <c r="Z220" s="15" t="s">
        <v>36</v>
      </c>
      <c r="AA220" s="15" t="s">
        <v>123</v>
      </c>
      <c r="AB220" s="15" t="s">
        <v>38</v>
      </c>
      <c r="AC220" s="15" t="s">
        <v>493</v>
      </c>
      <c r="AD220" s="15" t="s">
        <v>89</v>
      </c>
      <c r="AE220" s="15" t="s">
        <v>89</v>
      </c>
      <c r="AF220" s="15" t="s">
        <v>469</v>
      </c>
      <c r="AG220" s="69">
        <v>7.175E9</v>
      </c>
      <c r="AH220" s="97" t="str">
        <f t="shared" si="128"/>
        <v>$5B-$10B</v>
      </c>
      <c r="AI220" s="69">
        <v>7.175E9</v>
      </c>
      <c r="AJ220" s="97" t="str">
        <f t="shared" si="129"/>
        <v>$5B-$10B</v>
      </c>
      <c r="AK220" s="167">
        <v>0.27</v>
      </c>
      <c r="AL220" s="88" t="str">
        <f t="shared" si="130"/>
        <v>20%-30%</v>
      </c>
      <c r="AM220" s="32">
        <v>4.0</v>
      </c>
      <c r="AN220" s="15" t="s">
        <v>39</v>
      </c>
      <c r="AO220" s="15" t="s">
        <v>89</v>
      </c>
      <c r="AP220" s="15" t="s">
        <v>90</v>
      </c>
      <c r="AQ220" s="168"/>
      <c r="AR220" s="168"/>
      <c r="AS220" s="15" t="s">
        <v>469</v>
      </c>
      <c r="AT220" s="15" t="s">
        <v>469</v>
      </c>
      <c r="AU220" s="15" t="s">
        <v>493</v>
      </c>
      <c r="AV220" s="15" t="s">
        <v>493</v>
      </c>
      <c r="AW220" s="69">
        <v>48383.0</v>
      </c>
      <c r="AX220" s="96" t="str">
        <f t="shared" si="131"/>
        <v>$10K - $50K</v>
      </c>
      <c r="AY220" s="69">
        <v>24648.0</v>
      </c>
      <c r="AZ220" s="69">
        <v>700000.0</v>
      </c>
      <c r="BA220" s="103" t="str">
        <f t="shared" si="132"/>
        <v>$500K - $1M</v>
      </c>
      <c r="BB220" s="103">
        <f t="shared" si="133"/>
        <v>0.03521142857</v>
      </c>
      <c r="BC220" s="103" t="str">
        <f t="shared" si="134"/>
        <v>&lt; 10%</v>
      </c>
      <c r="BD220" s="15" t="s">
        <v>107</v>
      </c>
      <c r="BF220" s="15" t="s">
        <v>493</v>
      </c>
      <c r="BG220" s="15">
        <v>5.0</v>
      </c>
      <c r="BH220" s="15">
        <v>2.0</v>
      </c>
      <c r="BI220" s="15" t="s">
        <v>493</v>
      </c>
      <c r="BJ220" s="15" t="s">
        <v>469</v>
      </c>
      <c r="BK220" s="15" t="s">
        <v>469</v>
      </c>
      <c r="BL220" s="15" t="s">
        <v>469</v>
      </c>
      <c r="BM220" s="15">
        <v>1.0</v>
      </c>
      <c r="BN220" s="15">
        <v>2.0</v>
      </c>
      <c r="BO220" s="15">
        <v>3.0</v>
      </c>
      <c r="BP220" s="15">
        <v>0.0</v>
      </c>
      <c r="BQ220" s="108"/>
      <c r="BR220" s="15">
        <v>5.0</v>
      </c>
      <c r="BS220" s="15">
        <v>0.0</v>
      </c>
      <c r="BT220" s="15">
        <v>0.0</v>
      </c>
      <c r="BU220" s="15">
        <v>35.0</v>
      </c>
      <c r="BV220" s="15" t="s">
        <v>493</v>
      </c>
      <c r="BW220" s="108"/>
      <c r="BX220" s="15">
        <v>3.0</v>
      </c>
      <c r="BY220" s="15">
        <v>1.0</v>
      </c>
      <c r="BZ220" s="15">
        <v>0.0</v>
      </c>
      <c r="CA220" s="15">
        <v>35.0</v>
      </c>
      <c r="CB220" s="15" t="s">
        <v>493</v>
      </c>
      <c r="CC220" s="108"/>
      <c r="CI220" s="108"/>
      <c r="CO220" s="108"/>
      <c r="CU220" s="108"/>
      <c r="DA220" s="108"/>
      <c r="DG220" s="108"/>
      <c r="DM220" s="108"/>
      <c r="DS220" s="108"/>
      <c r="DT220" s="108"/>
      <c r="DU220" s="108"/>
      <c r="DW220" s="109"/>
      <c r="DX220" s="110">
        <f t="shared" si="13"/>
        <v>4</v>
      </c>
      <c r="DY220" s="111">
        <f t="shared" ref="DY220:DZ220" si="499">sum(BS220,BY220,CE220,CK220,CQ220,CW220,DC220,DI220,DO220)</f>
        <v>1</v>
      </c>
      <c r="DZ220" s="111">
        <f t="shared" si="499"/>
        <v>0</v>
      </c>
      <c r="EA220" s="110">
        <f t="shared" si="15"/>
        <v>35</v>
      </c>
      <c r="EB220" s="99" t="str">
        <f t="shared" si="16"/>
        <v>35 - 54</v>
      </c>
      <c r="EC220" s="112"/>
      <c r="ED220" s="113">
        <f t="shared" si="17"/>
        <v>4.4</v>
      </c>
      <c r="EE220" s="114">
        <f>IF(V220 &lt;&gt; "", 1+((V220-MIN(discount_rates))*(4)/(MAX(discount_rates) - MIN(discount_rates))), "")</f>
        <v>3.105263158</v>
      </c>
      <c r="EF220" s="114" t="str">
        <f>IF(Q220="Debt", (1+((S220-MIN(interest_rates))*(4)/(MAX(interest_rates) - MIN(interest_rates)))), "")</f>
        <v/>
      </c>
      <c r="EG220" s="114" t="str">
        <f>IF(OR(Q220="Revenue Share", Q220="Profit Share"), (1+((R220-MIN(return_mutiples))*(4)/(MAX(return_mutiples) - MIN(return_mutiples)))), "")</f>
        <v/>
      </c>
      <c r="EH220" s="115">
        <f t="shared" si="18"/>
        <v>4.4</v>
      </c>
      <c r="EI220" s="116" t="str">
        <f t="shared" si="19"/>
        <v>SAFE</v>
      </c>
      <c r="EJ220" s="117">
        <f t="shared" si="20"/>
        <v>0.3561643836</v>
      </c>
      <c r="EK220" s="116" t="str">
        <f t="shared" si="21"/>
        <v>Early</v>
      </c>
      <c r="EL220" s="112"/>
      <c r="EM220" s="118">
        <f t="shared" si="22"/>
        <v>3</v>
      </c>
      <c r="EN220" s="118">
        <f t="shared" si="23"/>
        <v>3</v>
      </c>
      <c r="EO220" s="119">
        <f t="shared" si="24"/>
        <v>6</v>
      </c>
      <c r="EP220" s="115">
        <f>1+((EO220-MIN(market_ratings_sums))*(4)/(MAX(market_ratings_sums) - MIN(market_ratings_sums)))</f>
        <v>3.315789474</v>
      </c>
      <c r="EQ220" s="116" t="str">
        <f t="shared" si="25"/>
        <v>No</v>
      </c>
      <c r="ER220" s="112"/>
      <c r="ES220" s="123">
        <f>1+((DX220-MIN(industry_experiences))*(4)/(MAX(industry_experiences) - MIN(industry_experiences)))</f>
        <v>1.380952381</v>
      </c>
      <c r="ET220" s="123">
        <f>1+((DY220-MIN(previous_startups))*(4)/(MAX(previous_startups) - MIN(previous_startups)))</f>
        <v>1.444444444</v>
      </c>
      <c r="EU220" s="123">
        <f>1+((DZ220-MIN(exits))*(4)/(MAX(exits) - MIN(exits)))</f>
        <v>1</v>
      </c>
      <c r="EV220" s="119">
        <f t="shared" si="26"/>
        <v>3.825396825</v>
      </c>
      <c r="EW220" s="124">
        <f>1+((EV220-MIN(team_ratings_sums))*(4)/(MAX(team_ratings_sums) - MIN(team_ratings_sums)))</f>
        <v>1.452173913</v>
      </c>
      <c r="EX220" s="116" t="str">
        <f t="shared" si="27"/>
        <v>35 - 54</v>
      </c>
      <c r="EY220" s="125">
        <f t="shared" si="28"/>
        <v>0.6849315068</v>
      </c>
      <c r="EZ220" s="116">
        <f t="shared" si="29"/>
        <v>2</v>
      </c>
      <c r="FA220" s="125">
        <f t="shared" si="30"/>
        <v>0.4520547945</v>
      </c>
      <c r="FB220" s="116">
        <f t="shared" si="31"/>
        <v>2</v>
      </c>
      <c r="FC220" s="125">
        <f t="shared" si="32"/>
        <v>0.1369863014</v>
      </c>
      <c r="FD220" s="116" t="str">
        <f t="shared" si="33"/>
        <v>Yes</v>
      </c>
      <c r="FE220" s="125">
        <f t="shared" si="34"/>
        <v>0.2465753425</v>
      </c>
      <c r="FF220" s="116" t="str">
        <f t="shared" ref="FF220:FH220" si="500">BJ220</f>
        <v>No</v>
      </c>
      <c r="FG220" s="116" t="str">
        <f t="shared" si="500"/>
        <v>No</v>
      </c>
      <c r="FH220" s="116" t="str">
        <f t="shared" si="500"/>
        <v>No</v>
      </c>
      <c r="FI220" s="112"/>
      <c r="FJ220" s="116" t="str">
        <f t="shared" si="36"/>
        <v>Transactional</v>
      </c>
      <c r="FK220" s="125">
        <f t="shared" si="37"/>
        <v>0.602739726</v>
      </c>
      <c r="FL220" s="116" t="str">
        <f t="shared" si="38"/>
        <v>B2B/B2C</v>
      </c>
      <c r="FM220" s="125">
        <f t="shared" si="39"/>
        <v>0.3287671233</v>
      </c>
      <c r="FN220" s="116" t="str">
        <f t="shared" si="40"/>
        <v>Low</v>
      </c>
      <c r="FO220" s="125">
        <f t="shared" si="41"/>
        <v>0.4383561644</v>
      </c>
      <c r="FP220" s="116" t="str">
        <f t="shared" si="42"/>
        <v>Low</v>
      </c>
      <c r="FQ220" s="125">
        <f t="shared" si="43"/>
        <v>0.3561643836</v>
      </c>
      <c r="FR220" s="112"/>
      <c r="FS220" s="123">
        <f t="shared" si="44"/>
        <v>5</v>
      </c>
      <c r="FT220" s="123">
        <f t="shared" si="45"/>
        <v>1.4</v>
      </c>
      <c r="FU220" s="123">
        <f t="shared" si="46"/>
        <v>5</v>
      </c>
      <c r="FV220" s="123">
        <f t="shared" si="47"/>
        <v>3.2</v>
      </c>
      <c r="FW220" s="119">
        <f t="shared" si="48"/>
        <v>14.6</v>
      </c>
      <c r="FX220" s="115">
        <f>1+((FW220-MIN(performance_ratings_sums))*(4)/(MAX(performance_ratings_sums) - MIN(performance_ratings_sums)))</f>
        <v>3.953271028</v>
      </c>
      <c r="FY220" s="116" t="str">
        <f t="shared" si="49"/>
        <v>Pre-Profit</v>
      </c>
      <c r="FZ220" s="126">
        <f t="shared" si="50"/>
        <v>0.4931506849</v>
      </c>
      <c r="GA220" s="112"/>
      <c r="GB220" s="127">
        <f t="shared" si="51"/>
        <v>3</v>
      </c>
      <c r="GC220" s="116" t="str">
        <f t="shared" si="52"/>
        <v>No</v>
      </c>
      <c r="GD220" s="126">
        <f t="shared" si="53"/>
        <v>0.7671232877</v>
      </c>
      <c r="GE220" s="126" t="str">
        <f t="shared" si="54"/>
        <v/>
      </c>
      <c r="GF220" s="126">
        <f t="shared" si="55"/>
        <v>0</v>
      </c>
      <c r="GG220" s="126" t="str">
        <f t="shared" si="56"/>
        <v/>
      </c>
      <c r="GH220" s="126">
        <f t="shared" si="57"/>
        <v>0</v>
      </c>
      <c r="GI220" s="112"/>
      <c r="GJ220" s="116"/>
      <c r="GK220" s="119">
        <f t="shared" si="58"/>
        <v>16.12123441</v>
      </c>
      <c r="GL220" s="128">
        <f>1+((GK220-MIN(ratings_sums))*(4)/(MAX(ratings_sums) - MIN(ratings_sums)))</f>
        <v>3.739235244</v>
      </c>
    </row>
    <row r="221" ht="15.75" customHeight="1">
      <c r="A221" s="161" t="s">
        <v>1128</v>
      </c>
      <c r="B221" s="15">
        <v>1797650.0</v>
      </c>
      <c r="C221" s="162" t="s">
        <v>1474</v>
      </c>
      <c r="D221" s="163">
        <v>43829.41527777778</v>
      </c>
      <c r="E221" s="15" t="s">
        <v>369</v>
      </c>
      <c r="F221" s="164" t="s">
        <v>1475</v>
      </c>
      <c r="G221" s="164" t="s">
        <v>1476</v>
      </c>
      <c r="H221" s="210">
        <v>43873.0</v>
      </c>
      <c r="I221" s="162" t="s">
        <v>1477</v>
      </c>
      <c r="J221" s="162" t="s">
        <v>1474</v>
      </c>
      <c r="K221" s="15" t="s">
        <v>487</v>
      </c>
      <c r="L221" s="15" t="s">
        <v>355</v>
      </c>
      <c r="M221" s="15" t="s">
        <v>31</v>
      </c>
      <c r="N221" s="15" t="s">
        <v>82</v>
      </c>
      <c r="O221" s="15" t="s">
        <v>35</v>
      </c>
      <c r="Q221" s="15" t="s">
        <v>195</v>
      </c>
      <c r="R221" s="166"/>
      <c r="S221" s="120"/>
      <c r="T221" s="69"/>
      <c r="U221" s="69">
        <v>5000000.0</v>
      </c>
      <c r="V221" s="132">
        <v>0.2</v>
      </c>
      <c r="W221" s="96">
        <f t="shared" si="125"/>
        <v>4000000</v>
      </c>
      <c r="X221" s="98">
        <f t="shared" si="126"/>
        <v>4000000</v>
      </c>
      <c r="Y221" s="99" t="str">
        <f t="shared" si="127"/>
        <v>$2M - $4M</v>
      </c>
      <c r="Z221" s="15" t="s">
        <v>86</v>
      </c>
      <c r="AA221" s="15" t="s">
        <v>37</v>
      </c>
      <c r="AB221" s="15" t="s">
        <v>88</v>
      </c>
      <c r="AC221" s="15" t="s">
        <v>493</v>
      </c>
      <c r="AD221" s="15" t="s">
        <v>39</v>
      </c>
      <c r="AE221" s="15" t="s">
        <v>89</v>
      </c>
      <c r="AF221" s="15" t="s">
        <v>469</v>
      </c>
      <c r="AG221" s="69">
        <v>8.4E10</v>
      </c>
      <c r="AH221" s="97" t="str">
        <f t="shared" si="128"/>
        <v>$50B-$100B</v>
      </c>
      <c r="AI221" s="69">
        <v>8.4E10</v>
      </c>
      <c r="AJ221" s="97" t="str">
        <f t="shared" si="129"/>
        <v>$50B-$100B</v>
      </c>
      <c r="AK221" s="167">
        <v>0.2</v>
      </c>
      <c r="AL221" s="88" t="str">
        <f t="shared" si="130"/>
        <v>10%-20%</v>
      </c>
      <c r="AM221" s="32">
        <v>3.0</v>
      </c>
      <c r="AN221" s="15" t="s">
        <v>39</v>
      </c>
      <c r="AO221" s="15" t="s">
        <v>89</v>
      </c>
      <c r="AP221" s="15" t="s">
        <v>90</v>
      </c>
      <c r="AQ221" s="168"/>
      <c r="AR221" s="168"/>
      <c r="AS221" s="15" t="s">
        <v>469</v>
      </c>
      <c r="AT221" s="15" t="s">
        <v>493</v>
      </c>
      <c r="AU221" s="15" t="s">
        <v>493</v>
      </c>
      <c r="AV221" s="15" t="s">
        <v>493</v>
      </c>
      <c r="AW221" s="69">
        <v>0.0</v>
      </c>
      <c r="AX221" s="96" t="str">
        <f t="shared" si="131"/>
        <v>&lt; $10K</v>
      </c>
      <c r="AY221" s="69">
        <v>10112.0</v>
      </c>
      <c r="AZ221" s="69">
        <v>537500.0</v>
      </c>
      <c r="BA221" s="103" t="str">
        <f t="shared" si="132"/>
        <v>$500K - $1M</v>
      </c>
      <c r="BB221" s="103">
        <f t="shared" si="133"/>
        <v>0.01881302326</v>
      </c>
      <c r="BC221" s="103" t="str">
        <f t="shared" si="134"/>
        <v>&lt; 10%</v>
      </c>
      <c r="BD221" s="15" t="s">
        <v>91</v>
      </c>
      <c r="BF221" s="15" t="s">
        <v>469</v>
      </c>
      <c r="BG221" s="15">
        <v>0.0</v>
      </c>
      <c r="BH221" s="15">
        <v>3.0</v>
      </c>
      <c r="BI221" s="15" t="s">
        <v>493</v>
      </c>
      <c r="BJ221" s="15" t="s">
        <v>493</v>
      </c>
      <c r="BK221" s="15" t="s">
        <v>493</v>
      </c>
      <c r="BL221" s="15" t="s">
        <v>469</v>
      </c>
      <c r="BM221" s="15">
        <v>3.0</v>
      </c>
      <c r="BN221" s="15">
        <v>3.0</v>
      </c>
      <c r="BO221" s="15">
        <v>4.0</v>
      </c>
      <c r="BP221" s="15">
        <v>0.0</v>
      </c>
      <c r="BQ221" s="108"/>
      <c r="BR221" s="15">
        <v>7.0</v>
      </c>
      <c r="BS221" s="15">
        <v>4.0</v>
      </c>
      <c r="BT221" s="15">
        <v>1.0</v>
      </c>
      <c r="BU221" s="15">
        <v>27.0</v>
      </c>
      <c r="BV221" s="15" t="s">
        <v>469</v>
      </c>
      <c r="BW221" s="108"/>
      <c r="BX221" s="15">
        <v>2.0</v>
      </c>
      <c r="BY221" s="15">
        <v>1.0</v>
      </c>
      <c r="BZ221" s="15">
        <v>0.0</v>
      </c>
      <c r="CA221" s="15">
        <v>25.0</v>
      </c>
      <c r="CB221" s="15" t="s">
        <v>469</v>
      </c>
      <c r="CC221" s="108"/>
      <c r="CH221" s="15" t="s">
        <v>469</v>
      </c>
      <c r="CI221" s="108"/>
      <c r="CO221" s="108"/>
      <c r="CU221" s="108"/>
      <c r="DA221" s="108"/>
      <c r="DG221" s="108"/>
      <c r="DM221" s="108"/>
      <c r="DS221" s="108"/>
      <c r="DT221" s="108"/>
      <c r="DU221" s="108"/>
      <c r="DW221" s="109"/>
      <c r="DX221" s="110">
        <f t="shared" si="13"/>
        <v>4.5</v>
      </c>
      <c r="DY221" s="111">
        <f t="shared" ref="DY221:DZ221" si="501">sum(BS221,BY221,CE221,CK221,CQ221,CW221,DC221,DI221,DO221)</f>
        <v>5</v>
      </c>
      <c r="DZ221" s="111">
        <f t="shared" si="501"/>
        <v>1</v>
      </c>
      <c r="EA221" s="110">
        <f t="shared" si="15"/>
        <v>26</v>
      </c>
      <c r="EB221" s="99" t="str">
        <f t="shared" si="16"/>
        <v>20 - 34</v>
      </c>
      <c r="EC221" s="112"/>
      <c r="ED221" s="113">
        <f t="shared" si="17"/>
        <v>4.6</v>
      </c>
      <c r="EE221" s="114">
        <f>IF(V221 &lt;&gt; "", 1+((V221-MIN(discount_rates))*(4)/(MAX(discount_rates) - MIN(discount_rates))), "")</f>
        <v>3.105263158</v>
      </c>
      <c r="EF221" s="114" t="str">
        <f>IF(Q221="Debt", (1+((S221-MIN(interest_rates))*(4)/(MAX(interest_rates) - MIN(interest_rates)))), "")</f>
        <v/>
      </c>
      <c r="EG221" s="114" t="str">
        <f>IF(OR(Q221="Revenue Share", Q221="Profit Share"), (1+((R221-MIN(return_mutiples))*(4)/(MAX(return_mutiples) - MIN(return_mutiples)))), "")</f>
        <v/>
      </c>
      <c r="EH221" s="115">
        <f t="shared" si="18"/>
        <v>4.6</v>
      </c>
      <c r="EI221" s="116" t="str">
        <f t="shared" si="19"/>
        <v>SAFE</v>
      </c>
      <c r="EJ221" s="117">
        <f t="shared" si="20"/>
        <v>0.3561643836</v>
      </c>
      <c r="EK221" s="116" t="str">
        <f t="shared" si="21"/>
        <v>Early</v>
      </c>
      <c r="EL221" s="112"/>
      <c r="EM221" s="118">
        <f t="shared" si="22"/>
        <v>3.9</v>
      </c>
      <c r="EN221" s="118">
        <f t="shared" si="23"/>
        <v>2.3</v>
      </c>
      <c r="EO221" s="119">
        <f t="shared" si="24"/>
        <v>6.2</v>
      </c>
      <c r="EP221" s="115">
        <f>1+((EO221-MIN(market_ratings_sums))*(4)/(MAX(market_ratings_sums) - MIN(market_ratings_sums)))</f>
        <v>3.456140351</v>
      </c>
      <c r="EQ221" s="116" t="str">
        <f t="shared" si="25"/>
        <v>No</v>
      </c>
      <c r="ER221" s="112"/>
      <c r="ES221" s="123">
        <f>1+((DX221-MIN(industry_experiences))*(4)/(MAX(industry_experiences) - MIN(industry_experiences)))</f>
        <v>1.428571429</v>
      </c>
      <c r="ET221" s="123">
        <f>1+((DY221-MIN(previous_startups))*(4)/(MAX(previous_startups) - MIN(previous_startups)))</f>
        <v>3.222222222</v>
      </c>
      <c r="EU221" s="123">
        <f>1+((DZ221-MIN(exits))*(4)/(MAX(exits) - MIN(exits)))</f>
        <v>2</v>
      </c>
      <c r="EV221" s="119">
        <f t="shared" si="26"/>
        <v>6.650793651</v>
      </c>
      <c r="EW221" s="124">
        <f>1+((EV221-MIN(team_ratings_sums))*(4)/(MAX(team_ratings_sums) - MIN(team_ratings_sums)))</f>
        <v>3</v>
      </c>
      <c r="EX221" s="116" t="str">
        <f t="shared" si="27"/>
        <v>20 - 34</v>
      </c>
      <c r="EY221" s="125">
        <f t="shared" si="28"/>
        <v>0.2054794521</v>
      </c>
      <c r="EZ221" s="116">
        <f t="shared" si="29"/>
        <v>3</v>
      </c>
      <c r="FA221" s="125">
        <f t="shared" si="30"/>
        <v>0.05479452055</v>
      </c>
      <c r="FB221" s="116">
        <f t="shared" si="31"/>
        <v>3</v>
      </c>
      <c r="FC221" s="125">
        <f t="shared" si="32"/>
        <v>0.08219178082</v>
      </c>
      <c r="FD221" s="116" t="str">
        <f t="shared" si="33"/>
        <v>Yes</v>
      </c>
      <c r="FE221" s="125">
        <f t="shared" si="34"/>
        <v>0.2465753425</v>
      </c>
      <c r="FF221" s="116" t="str">
        <f t="shared" ref="FF221:FH221" si="502">BJ221</f>
        <v>Yes</v>
      </c>
      <c r="FG221" s="116" t="str">
        <f t="shared" si="502"/>
        <v>Yes</v>
      </c>
      <c r="FH221" s="116" t="str">
        <f t="shared" si="502"/>
        <v>No</v>
      </c>
      <c r="FI221" s="112"/>
      <c r="FJ221" s="116" t="str">
        <f t="shared" si="36"/>
        <v>Recurring</v>
      </c>
      <c r="FK221" s="125">
        <f t="shared" si="37"/>
        <v>0.397260274</v>
      </c>
      <c r="FL221" s="116" t="str">
        <f t="shared" si="38"/>
        <v>B2B</v>
      </c>
      <c r="FM221" s="125">
        <f t="shared" si="39"/>
        <v>0.2465753425</v>
      </c>
      <c r="FN221" s="116" t="str">
        <f t="shared" si="40"/>
        <v>High</v>
      </c>
      <c r="FO221" s="125">
        <f t="shared" si="41"/>
        <v>0.5616438356</v>
      </c>
      <c r="FP221" s="116" t="str">
        <f t="shared" si="42"/>
        <v>Low</v>
      </c>
      <c r="FQ221" s="125">
        <f t="shared" si="43"/>
        <v>0.3561643836</v>
      </c>
      <c r="FR221" s="112"/>
      <c r="FS221" s="123">
        <f t="shared" si="44"/>
        <v>5</v>
      </c>
      <c r="FT221" s="123">
        <f t="shared" si="45"/>
        <v>1</v>
      </c>
      <c r="FU221" s="123">
        <f t="shared" si="46"/>
        <v>5</v>
      </c>
      <c r="FV221" s="123">
        <f t="shared" si="47"/>
        <v>3.2</v>
      </c>
      <c r="FW221" s="119">
        <f t="shared" si="48"/>
        <v>14.2</v>
      </c>
      <c r="FX221" s="115">
        <f>1+((FW221-MIN(performance_ratings_sums))*(4)/(MAX(performance_ratings_sums) - MIN(performance_ratings_sums)))</f>
        <v>3.803738318</v>
      </c>
      <c r="FY221" s="116" t="str">
        <f t="shared" si="49"/>
        <v>Pre-Revenue</v>
      </c>
      <c r="FZ221" s="126">
        <f t="shared" si="50"/>
        <v>0.2054794521</v>
      </c>
      <c r="GA221" s="112"/>
      <c r="GB221" s="127">
        <f t="shared" si="51"/>
        <v>3</v>
      </c>
      <c r="GC221" s="116" t="str">
        <f t="shared" si="52"/>
        <v>Yes</v>
      </c>
      <c r="GD221" s="126">
        <f t="shared" si="53"/>
        <v>0.2328767123</v>
      </c>
      <c r="GE221" s="126" t="str">
        <f t="shared" si="54"/>
        <v/>
      </c>
      <c r="GF221" s="126">
        <f t="shared" si="55"/>
        <v>0</v>
      </c>
      <c r="GG221" s="126" t="str">
        <f t="shared" si="56"/>
        <v/>
      </c>
      <c r="GH221" s="126">
        <f t="shared" si="57"/>
        <v>0</v>
      </c>
      <c r="GI221" s="112"/>
      <c r="GJ221" s="116"/>
      <c r="GK221" s="119">
        <f t="shared" si="58"/>
        <v>17.85987867</v>
      </c>
      <c r="GL221" s="128">
        <f>1+((GK221-MIN(ratings_sums))*(4)/(MAX(ratings_sums) - MIN(ratings_sums)))</f>
        <v>4.27272079</v>
      </c>
    </row>
    <row r="222" ht="15.75" customHeight="1">
      <c r="A222" s="161" t="s">
        <v>1128</v>
      </c>
      <c r="B222" s="15">
        <v>1788682.0</v>
      </c>
      <c r="C222" s="162" t="s">
        <v>1478</v>
      </c>
      <c r="D222" s="163">
        <v>43829.447916666664</v>
      </c>
      <c r="E222" s="15" t="s">
        <v>392</v>
      </c>
      <c r="F222" s="164" t="s">
        <v>1479</v>
      </c>
      <c r="G222" s="164" t="s">
        <v>1480</v>
      </c>
      <c r="H222" s="210">
        <v>43805.0</v>
      </c>
      <c r="I222" s="162" t="s">
        <v>1481</v>
      </c>
      <c r="J222" s="162" t="s">
        <v>1478</v>
      </c>
      <c r="K222" s="15" t="s">
        <v>448</v>
      </c>
      <c r="L222" s="15" t="s">
        <v>390</v>
      </c>
      <c r="M222" s="15" t="s">
        <v>31</v>
      </c>
      <c r="N222" s="15" t="s">
        <v>32</v>
      </c>
      <c r="O222" s="15" t="s">
        <v>35</v>
      </c>
      <c r="Q222" s="15" t="s">
        <v>135</v>
      </c>
      <c r="R222" s="166"/>
      <c r="S222" s="120"/>
      <c r="T222" s="69">
        <v>6500000.0</v>
      </c>
      <c r="U222" s="69"/>
      <c r="V222" s="132"/>
      <c r="W222" s="96" t="str">
        <f t="shared" si="125"/>
        <v/>
      </c>
      <c r="X222" s="98">
        <f t="shared" si="126"/>
        <v>6500000</v>
      </c>
      <c r="Y222" s="99" t="str">
        <f t="shared" si="127"/>
        <v>$6M - $8M</v>
      </c>
      <c r="Z222" s="15" t="s">
        <v>36</v>
      </c>
      <c r="AA222" s="15" t="s">
        <v>123</v>
      </c>
      <c r="AB222" s="15" t="s">
        <v>38</v>
      </c>
      <c r="AC222" s="15" t="s">
        <v>493</v>
      </c>
      <c r="AD222" s="15" t="s">
        <v>39</v>
      </c>
      <c r="AE222" s="15" t="s">
        <v>89</v>
      </c>
      <c r="AF222" s="15" t="s">
        <v>469</v>
      </c>
      <c r="AG222" s="69">
        <v>1.706E10</v>
      </c>
      <c r="AH222" s="97" t="str">
        <f t="shared" si="128"/>
        <v>$10B-$25B</v>
      </c>
      <c r="AI222" s="69">
        <v>1.706E10</v>
      </c>
      <c r="AJ222" s="97" t="str">
        <f t="shared" si="129"/>
        <v>$10B-$25B</v>
      </c>
      <c r="AK222" s="167">
        <v>0.06</v>
      </c>
      <c r="AL222" s="88" t="str">
        <f t="shared" si="130"/>
        <v>0%-10%</v>
      </c>
      <c r="AM222" s="15">
        <v>77.0</v>
      </c>
      <c r="AN222" s="15" t="s">
        <v>89</v>
      </c>
      <c r="AO222" s="15" t="s">
        <v>89</v>
      </c>
      <c r="AP222" s="15" t="s">
        <v>40</v>
      </c>
      <c r="AQ222" s="168"/>
      <c r="AR222" s="168"/>
      <c r="AS222" s="15" t="s">
        <v>469</v>
      </c>
      <c r="AT222" s="15" t="s">
        <v>469</v>
      </c>
      <c r="AU222" s="15" t="s">
        <v>469</v>
      </c>
      <c r="AV222" s="15" t="s">
        <v>469</v>
      </c>
      <c r="AW222" s="69">
        <v>0.0</v>
      </c>
      <c r="AX222" s="96" t="str">
        <f t="shared" si="131"/>
        <v>&lt; $10K</v>
      </c>
      <c r="AY222" s="69">
        <v>0.0</v>
      </c>
      <c r="AZ222" s="69">
        <v>0.0</v>
      </c>
      <c r="BA222" s="103" t="str">
        <f t="shared" si="132"/>
        <v>&lt; $10K</v>
      </c>
      <c r="BB222" s="103">
        <f t="shared" si="133"/>
        <v>1</v>
      </c>
      <c r="BC222" s="103" t="str">
        <f t="shared" si="134"/>
        <v>90% - 100%</v>
      </c>
      <c r="BD222" s="15" t="s">
        <v>91</v>
      </c>
      <c r="BF222" s="15" t="s">
        <v>469</v>
      </c>
      <c r="BG222" s="15">
        <v>0.0</v>
      </c>
      <c r="BH222" s="15">
        <v>1.0</v>
      </c>
      <c r="BI222" s="15" t="s">
        <v>493</v>
      </c>
      <c r="BJ222" s="15" t="s">
        <v>469</v>
      </c>
      <c r="BK222" s="15" t="s">
        <v>469</v>
      </c>
      <c r="BL222" s="15" t="s">
        <v>469</v>
      </c>
      <c r="BM222" s="15">
        <v>1.0</v>
      </c>
      <c r="BN222" s="15">
        <v>1.0</v>
      </c>
      <c r="BO222" s="15">
        <v>0.0</v>
      </c>
      <c r="BP222" s="15">
        <v>0.0</v>
      </c>
      <c r="BQ222" s="108"/>
      <c r="BR222" s="15">
        <v>6.0</v>
      </c>
      <c r="BS222" s="15">
        <v>0.0</v>
      </c>
      <c r="BT222" s="15">
        <v>0.0</v>
      </c>
      <c r="BU222" s="15">
        <v>47.0</v>
      </c>
      <c r="BV222" s="15" t="s">
        <v>469</v>
      </c>
      <c r="BW222" s="108"/>
      <c r="CC222" s="108"/>
      <c r="CI222" s="108"/>
      <c r="CO222" s="108"/>
      <c r="CU222" s="108"/>
      <c r="DA222" s="108"/>
      <c r="DG222" s="108"/>
      <c r="DM222" s="108"/>
      <c r="DS222" s="108"/>
      <c r="DT222" s="108"/>
      <c r="DU222" s="108"/>
      <c r="DW222" s="109"/>
      <c r="DX222" s="110">
        <f t="shared" si="13"/>
        <v>6</v>
      </c>
      <c r="DY222" s="111">
        <f t="shared" ref="DY222:DZ222" si="503">sum(BS222,BY222,CE222,CK222,CQ222,CW222,DC222,DI222,DO222)</f>
        <v>0</v>
      </c>
      <c r="DZ222" s="111">
        <f t="shared" si="503"/>
        <v>0</v>
      </c>
      <c r="EA222" s="110">
        <f t="shared" si="15"/>
        <v>47</v>
      </c>
      <c r="EB222" s="99" t="str">
        <f t="shared" si="16"/>
        <v>35 - 54</v>
      </c>
      <c r="EC222" s="112"/>
      <c r="ED222" s="113">
        <f t="shared" si="17"/>
        <v>4.2</v>
      </c>
      <c r="EE222" s="114" t="str">
        <f>IF(V222 &lt;&gt; "", 1+((V222-MIN(discount_rates))*(4)/(MAX(discount_rates) - MIN(discount_rates))), "")</f>
        <v/>
      </c>
      <c r="EF222" s="114" t="str">
        <f>IF(Q222="Debt", (1+((S222-MIN(interest_rates))*(4)/(MAX(interest_rates) - MIN(interest_rates)))), "")</f>
        <v/>
      </c>
      <c r="EG222" s="114" t="str">
        <f>IF(OR(Q222="Revenue Share", Q222="Profit Share"), (1+((R222-MIN(return_mutiples))*(4)/(MAX(return_mutiples) - MIN(return_mutiples)))), "")</f>
        <v/>
      </c>
      <c r="EH222" s="115">
        <f t="shared" si="18"/>
        <v>4.2</v>
      </c>
      <c r="EI222" s="116" t="str">
        <f t="shared" si="19"/>
        <v>Equity - Preferred</v>
      </c>
      <c r="EJ222" s="117">
        <f t="shared" si="20"/>
        <v>0.06849315068</v>
      </c>
      <c r="EK222" s="116" t="str">
        <f t="shared" si="21"/>
        <v>Early</v>
      </c>
      <c r="EL222" s="112"/>
      <c r="EM222" s="118">
        <f t="shared" si="22"/>
        <v>3.3</v>
      </c>
      <c r="EN222" s="118">
        <f t="shared" si="23"/>
        <v>1.7</v>
      </c>
      <c r="EO222" s="119">
        <f t="shared" si="24"/>
        <v>5</v>
      </c>
      <c r="EP222" s="115">
        <f>1+((EO222-MIN(market_ratings_sums))*(4)/(MAX(market_ratings_sums) - MIN(market_ratings_sums)))</f>
        <v>2.614035088</v>
      </c>
      <c r="EQ222" s="116" t="str">
        <f t="shared" si="25"/>
        <v>No</v>
      </c>
      <c r="ER222" s="112"/>
      <c r="ES222" s="123">
        <f>1+((DX222-MIN(industry_experiences))*(4)/(MAX(industry_experiences) - MIN(industry_experiences)))</f>
        <v>1.571428571</v>
      </c>
      <c r="ET222" s="123">
        <f>1+((DY222-MIN(previous_startups))*(4)/(MAX(previous_startups) - MIN(previous_startups)))</f>
        <v>1</v>
      </c>
      <c r="EU222" s="123">
        <f>1+((DZ222-MIN(exits))*(4)/(MAX(exits) - MIN(exits)))</f>
        <v>1</v>
      </c>
      <c r="EV222" s="119">
        <f t="shared" si="26"/>
        <v>3.571428571</v>
      </c>
      <c r="EW222" s="124">
        <f>1+((EV222-MIN(team_ratings_sums))*(4)/(MAX(team_ratings_sums) - MIN(team_ratings_sums)))</f>
        <v>1.313043478</v>
      </c>
      <c r="EX222" s="116" t="str">
        <f t="shared" si="27"/>
        <v>35 - 54</v>
      </c>
      <c r="EY222" s="125">
        <f t="shared" si="28"/>
        <v>0.6849315068</v>
      </c>
      <c r="EZ222" s="116">
        <f t="shared" si="29"/>
        <v>1</v>
      </c>
      <c r="FA222" s="125">
        <f t="shared" si="30"/>
        <v>0.4383561644</v>
      </c>
      <c r="FB222" s="116">
        <f t="shared" si="31"/>
        <v>1</v>
      </c>
      <c r="FC222" s="125">
        <f t="shared" si="32"/>
        <v>0.08219178082</v>
      </c>
      <c r="FD222" s="116" t="str">
        <f t="shared" si="33"/>
        <v>Yes</v>
      </c>
      <c r="FE222" s="125">
        <f t="shared" si="34"/>
        <v>0.2465753425</v>
      </c>
      <c r="FF222" s="116" t="str">
        <f t="shared" ref="FF222:FH222" si="504">BJ222</f>
        <v>No</v>
      </c>
      <c r="FG222" s="116" t="str">
        <f t="shared" si="504"/>
        <v>No</v>
      </c>
      <c r="FH222" s="116" t="str">
        <f t="shared" si="504"/>
        <v>No</v>
      </c>
      <c r="FI222" s="112"/>
      <c r="FJ222" s="116" t="str">
        <f t="shared" si="36"/>
        <v>Transactional</v>
      </c>
      <c r="FK222" s="125">
        <f t="shared" si="37"/>
        <v>0.602739726</v>
      </c>
      <c r="FL222" s="116" t="str">
        <f t="shared" si="38"/>
        <v>B2B/B2C</v>
      </c>
      <c r="FM222" s="125">
        <f t="shared" si="39"/>
        <v>0.3287671233</v>
      </c>
      <c r="FN222" s="116" t="str">
        <f t="shared" si="40"/>
        <v>High</v>
      </c>
      <c r="FO222" s="125">
        <f t="shared" si="41"/>
        <v>0.5616438356</v>
      </c>
      <c r="FP222" s="116" t="str">
        <f t="shared" si="42"/>
        <v>Low</v>
      </c>
      <c r="FQ222" s="125">
        <f t="shared" si="43"/>
        <v>0.3561643836</v>
      </c>
      <c r="FR222" s="112"/>
      <c r="FS222" s="123">
        <f t="shared" si="44"/>
        <v>1</v>
      </c>
      <c r="FT222" s="123">
        <f t="shared" si="45"/>
        <v>1</v>
      </c>
      <c r="FU222" s="123">
        <f t="shared" si="46"/>
        <v>1</v>
      </c>
      <c r="FV222" s="123">
        <f t="shared" si="47"/>
        <v>5</v>
      </c>
      <c r="FW222" s="119">
        <f t="shared" si="48"/>
        <v>8</v>
      </c>
      <c r="FX222" s="115">
        <f>1+((FW222-MIN(performance_ratings_sums))*(4)/(MAX(performance_ratings_sums) - MIN(performance_ratings_sums)))</f>
        <v>1.485981308</v>
      </c>
      <c r="FY222" s="116" t="str">
        <f t="shared" si="49"/>
        <v>Pre-Revenue</v>
      </c>
      <c r="FZ222" s="126">
        <f t="shared" si="50"/>
        <v>0.2054794521</v>
      </c>
      <c r="GA222" s="112"/>
      <c r="GB222" s="127">
        <f t="shared" si="51"/>
        <v>1</v>
      </c>
      <c r="GC222" s="116" t="str">
        <f t="shared" si="52"/>
        <v>No</v>
      </c>
      <c r="GD222" s="126">
        <f t="shared" si="53"/>
        <v>0.7671232877</v>
      </c>
      <c r="GE222" s="126" t="str">
        <f t="shared" si="54"/>
        <v/>
      </c>
      <c r="GF222" s="126">
        <f t="shared" si="55"/>
        <v>0</v>
      </c>
      <c r="GG222" s="126" t="str">
        <f t="shared" si="56"/>
        <v/>
      </c>
      <c r="GH222" s="126">
        <f t="shared" si="57"/>
        <v>0</v>
      </c>
      <c r="GI222" s="112"/>
      <c r="GJ222" s="116"/>
      <c r="GK222" s="119">
        <f t="shared" si="58"/>
        <v>10.61305987</v>
      </c>
      <c r="GL222" s="128">
        <f>1+((GK222-MIN(ratings_sums))*(4)/(MAX(ratings_sums) - MIN(ratings_sums)))</f>
        <v>2.049107147</v>
      </c>
    </row>
    <row r="223" ht="15.75" customHeight="1">
      <c r="A223" s="161" t="s">
        <v>1128</v>
      </c>
      <c r="B223" s="15">
        <v>1796295.0</v>
      </c>
      <c r="C223" s="162" t="s">
        <v>1482</v>
      </c>
      <c r="D223" s="163">
        <v>43832.47777777778</v>
      </c>
      <c r="E223" s="15" t="s">
        <v>386</v>
      </c>
      <c r="F223" s="164" t="s">
        <v>1483</v>
      </c>
      <c r="G223" s="164" t="s">
        <v>1484</v>
      </c>
      <c r="H223" s="210">
        <v>43888.0</v>
      </c>
      <c r="I223" s="162" t="s">
        <v>1485</v>
      </c>
      <c r="J223" s="162" t="s">
        <v>1486</v>
      </c>
      <c r="K223" s="15" t="s">
        <v>524</v>
      </c>
      <c r="L223" s="15" t="s">
        <v>349</v>
      </c>
      <c r="M223" s="15" t="s">
        <v>31</v>
      </c>
      <c r="N223" s="15" t="s">
        <v>32</v>
      </c>
      <c r="O223" s="15" t="s">
        <v>35</v>
      </c>
      <c r="Q223" s="15" t="s">
        <v>121</v>
      </c>
      <c r="R223" s="166"/>
      <c r="S223" s="120"/>
      <c r="T223" s="69">
        <v>4000000.0</v>
      </c>
      <c r="U223" s="69"/>
      <c r="V223" s="132"/>
      <c r="W223" s="96" t="str">
        <f t="shared" si="125"/>
        <v/>
      </c>
      <c r="X223" s="98">
        <f t="shared" si="126"/>
        <v>4000000</v>
      </c>
      <c r="Y223" s="99" t="str">
        <f t="shared" si="127"/>
        <v>$2M - $4M</v>
      </c>
      <c r="Z223" s="15" t="s">
        <v>36</v>
      </c>
      <c r="AA223" s="15" t="s">
        <v>87</v>
      </c>
      <c r="AB223" s="15" t="s">
        <v>38</v>
      </c>
      <c r="AC223" s="15" t="s">
        <v>493</v>
      </c>
      <c r="AD223" s="15" t="s">
        <v>39</v>
      </c>
      <c r="AE223" s="15" t="s">
        <v>39</v>
      </c>
      <c r="AF223" s="15" t="s">
        <v>469</v>
      </c>
      <c r="AG223" s="69">
        <v>2.204E11</v>
      </c>
      <c r="AH223" s="97" t="str">
        <f t="shared" si="128"/>
        <v>$100B-$250B</v>
      </c>
      <c r="AI223" s="69">
        <v>4.773E10</v>
      </c>
      <c r="AJ223" s="97" t="str">
        <f t="shared" si="129"/>
        <v>$25B-$50B</v>
      </c>
      <c r="AK223" s="167">
        <v>0.3</v>
      </c>
      <c r="AL223" s="88" t="str">
        <f t="shared" si="130"/>
        <v>20%-30%</v>
      </c>
      <c r="AM223" s="15">
        <v>0.0</v>
      </c>
      <c r="AN223" s="15" t="s">
        <v>39</v>
      </c>
      <c r="AO223" s="15" t="s">
        <v>39</v>
      </c>
      <c r="AP223" s="15" t="s">
        <v>40</v>
      </c>
      <c r="AQ223" s="168"/>
      <c r="AR223" s="168"/>
      <c r="AS223" s="15" t="s">
        <v>493</v>
      </c>
      <c r="AT223" s="15" t="s">
        <v>469</v>
      </c>
      <c r="AU223" s="15" t="s">
        <v>469</v>
      </c>
      <c r="AV223" s="15" t="s">
        <v>469</v>
      </c>
      <c r="AW223" s="69">
        <v>0.0</v>
      </c>
      <c r="AX223" s="96" t="str">
        <f t="shared" si="131"/>
        <v>&lt; $10K</v>
      </c>
      <c r="AY223" s="69">
        <v>9250.0</v>
      </c>
      <c r="AZ223" s="69">
        <v>11000.0</v>
      </c>
      <c r="BA223" s="103" t="str">
        <f t="shared" si="132"/>
        <v>$10K - $50K</v>
      </c>
      <c r="BB223" s="103">
        <f t="shared" si="133"/>
        <v>0.8409090909</v>
      </c>
      <c r="BC223" s="103" t="str">
        <f t="shared" si="134"/>
        <v>80% - 90%</v>
      </c>
      <c r="BD223" s="15" t="s">
        <v>91</v>
      </c>
      <c r="BF223" s="15" t="s">
        <v>469</v>
      </c>
      <c r="BG223" s="15">
        <v>0.0</v>
      </c>
      <c r="BH223" s="15">
        <v>1.0</v>
      </c>
      <c r="BI223" s="15" t="s">
        <v>493</v>
      </c>
      <c r="BJ223" s="15" t="s">
        <v>493</v>
      </c>
      <c r="BK223" s="15" t="s">
        <v>493</v>
      </c>
      <c r="BL223" s="15" t="s">
        <v>469</v>
      </c>
      <c r="BM223" s="15">
        <v>3.0</v>
      </c>
      <c r="BN223" s="15">
        <v>1.0</v>
      </c>
      <c r="BO223" s="15">
        <v>0.0</v>
      </c>
      <c r="BP223" s="15">
        <v>0.0</v>
      </c>
      <c r="BQ223" s="108"/>
      <c r="BR223" s="15">
        <v>20.0</v>
      </c>
      <c r="BS223" s="15">
        <v>2.0</v>
      </c>
      <c r="BT223" s="15">
        <v>0.0</v>
      </c>
      <c r="BU223" s="15">
        <v>42.0</v>
      </c>
      <c r="BV223" s="15" t="s">
        <v>493</v>
      </c>
      <c r="BW223" s="108"/>
      <c r="CC223" s="108"/>
      <c r="CI223" s="108"/>
      <c r="CO223" s="108"/>
      <c r="CU223" s="108"/>
      <c r="DA223" s="108"/>
      <c r="DG223" s="108"/>
      <c r="DM223" s="108"/>
      <c r="DS223" s="108"/>
      <c r="DT223" s="108"/>
      <c r="DU223" s="108"/>
      <c r="DW223" s="109"/>
      <c r="DX223" s="110">
        <f t="shared" si="13"/>
        <v>20</v>
      </c>
      <c r="DY223" s="111">
        <f t="shared" ref="DY223:DZ223" si="505">sum(BS223,BY223,CE223,CK223,CQ223,CW223,DC223,DI223,DO223)</f>
        <v>2</v>
      </c>
      <c r="DZ223" s="111">
        <f t="shared" si="505"/>
        <v>0</v>
      </c>
      <c r="EA223" s="110">
        <f t="shared" si="15"/>
        <v>42</v>
      </c>
      <c r="EB223" s="99" t="str">
        <f t="shared" si="16"/>
        <v>35 - 54</v>
      </c>
      <c r="EC223" s="112"/>
      <c r="ED223" s="113">
        <f t="shared" si="17"/>
        <v>4.6</v>
      </c>
      <c r="EE223" s="114" t="str">
        <f>IF(V223 &lt;&gt; "", 1+((V223-MIN(discount_rates))*(4)/(MAX(discount_rates) - MIN(discount_rates))), "")</f>
        <v/>
      </c>
      <c r="EF223" s="114" t="str">
        <f>IF(Q223="Debt", (1+((S223-MIN(interest_rates))*(4)/(MAX(interest_rates) - MIN(interest_rates)))), "")</f>
        <v/>
      </c>
      <c r="EG223" s="114" t="str">
        <f>IF(OR(Q223="Revenue Share", Q223="Profit Share"), (1+((R223-MIN(return_mutiples))*(4)/(MAX(return_mutiples) - MIN(return_mutiples)))), "")</f>
        <v/>
      </c>
      <c r="EH223" s="115">
        <f t="shared" si="18"/>
        <v>4.6</v>
      </c>
      <c r="EI223" s="116" t="str">
        <f t="shared" si="19"/>
        <v>Equity - Common</v>
      </c>
      <c r="EJ223" s="117">
        <f t="shared" si="20"/>
        <v>0.3287671233</v>
      </c>
      <c r="EK223" s="116" t="str">
        <f t="shared" si="21"/>
        <v>Early</v>
      </c>
      <c r="EL223" s="112"/>
      <c r="EM223" s="118">
        <f t="shared" si="22"/>
        <v>3.6</v>
      </c>
      <c r="EN223" s="118">
        <f t="shared" si="23"/>
        <v>3</v>
      </c>
      <c r="EO223" s="119">
        <f t="shared" si="24"/>
        <v>6.6</v>
      </c>
      <c r="EP223" s="115">
        <f>1+((EO223-MIN(market_ratings_sums))*(4)/(MAX(market_ratings_sums) - MIN(market_ratings_sums)))</f>
        <v>3.736842105</v>
      </c>
      <c r="EQ223" s="116" t="str">
        <f t="shared" si="25"/>
        <v>Yes</v>
      </c>
      <c r="ER223" s="112"/>
      <c r="ES223" s="123">
        <f>1+((DX223-MIN(industry_experiences))*(4)/(MAX(industry_experiences) - MIN(industry_experiences)))</f>
        <v>2.904761905</v>
      </c>
      <c r="ET223" s="123">
        <f>1+((DY223-MIN(previous_startups))*(4)/(MAX(previous_startups) - MIN(previous_startups)))</f>
        <v>1.888888889</v>
      </c>
      <c r="EU223" s="123">
        <f>1+((DZ223-MIN(exits))*(4)/(MAX(exits) - MIN(exits)))</f>
        <v>1</v>
      </c>
      <c r="EV223" s="119">
        <f t="shared" si="26"/>
        <v>5.793650794</v>
      </c>
      <c r="EW223" s="124">
        <f>1+((EV223-MIN(team_ratings_sums))*(4)/(MAX(team_ratings_sums) - MIN(team_ratings_sums)))</f>
        <v>2.530434783</v>
      </c>
      <c r="EX223" s="116" t="str">
        <f t="shared" si="27"/>
        <v>35 - 54</v>
      </c>
      <c r="EY223" s="125">
        <f t="shared" si="28"/>
        <v>0.6849315068</v>
      </c>
      <c r="EZ223" s="116">
        <f t="shared" si="29"/>
        <v>1</v>
      </c>
      <c r="FA223" s="125">
        <f t="shared" si="30"/>
        <v>0.4383561644</v>
      </c>
      <c r="FB223" s="116">
        <f t="shared" si="31"/>
        <v>1</v>
      </c>
      <c r="FC223" s="125">
        <f t="shared" si="32"/>
        <v>0.08219178082</v>
      </c>
      <c r="FD223" s="116" t="str">
        <f t="shared" si="33"/>
        <v>Yes</v>
      </c>
      <c r="FE223" s="125">
        <f t="shared" si="34"/>
        <v>0.2465753425</v>
      </c>
      <c r="FF223" s="116" t="str">
        <f t="shared" ref="FF223:FH223" si="506">BJ223</f>
        <v>Yes</v>
      </c>
      <c r="FG223" s="116" t="str">
        <f t="shared" si="506"/>
        <v>Yes</v>
      </c>
      <c r="FH223" s="116" t="str">
        <f t="shared" si="506"/>
        <v>No</v>
      </c>
      <c r="FI223" s="112"/>
      <c r="FJ223" s="116" t="str">
        <f t="shared" si="36"/>
        <v>Transactional</v>
      </c>
      <c r="FK223" s="125">
        <f t="shared" si="37"/>
        <v>0.602739726</v>
      </c>
      <c r="FL223" s="116" t="str">
        <f t="shared" si="38"/>
        <v>B2C</v>
      </c>
      <c r="FM223" s="125">
        <f t="shared" si="39"/>
        <v>0.397260274</v>
      </c>
      <c r="FN223" s="116" t="str">
        <f t="shared" si="40"/>
        <v>High</v>
      </c>
      <c r="FO223" s="125">
        <f t="shared" si="41"/>
        <v>0.5616438356</v>
      </c>
      <c r="FP223" s="116" t="str">
        <f t="shared" si="42"/>
        <v>High</v>
      </c>
      <c r="FQ223" s="125">
        <f t="shared" si="43"/>
        <v>0.6438356164</v>
      </c>
      <c r="FR223" s="112"/>
      <c r="FS223" s="123">
        <f t="shared" si="44"/>
        <v>1</v>
      </c>
      <c r="FT223" s="123">
        <f t="shared" si="45"/>
        <v>1</v>
      </c>
      <c r="FU223" s="123">
        <f t="shared" si="46"/>
        <v>1.4</v>
      </c>
      <c r="FV223" s="123">
        <f t="shared" si="47"/>
        <v>4.6</v>
      </c>
      <c r="FW223" s="119">
        <f t="shared" si="48"/>
        <v>8</v>
      </c>
      <c r="FX223" s="115">
        <f>1+((FW223-MIN(performance_ratings_sums))*(4)/(MAX(performance_ratings_sums) - MIN(performance_ratings_sums)))</f>
        <v>1.485981308</v>
      </c>
      <c r="FY223" s="116" t="str">
        <f t="shared" si="49"/>
        <v>Pre-Revenue</v>
      </c>
      <c r="FZ223" s="126">
        <f t="shared" si="50"/>
        <v>0.2054794521</v>
      </c>
      <c r="GA223" s="112"/>
      <c r="GB223" s="127">
        <f t="shared" si="51"/>
        <v>5</v>
      </c>
      <c r="GC223" s="116" t="str">
        <f t="shared" si="52"/>
        <v>No</v>
      </c>
      <c r="GD223" s="126">
        <f t="shared" si="53"/>
        <v>0.7671232877</v>
      </c>
      <c r="GE223" s="126" t="str">
        <f t="shared" si="54"/>
        <v/>
      </c>
      <c r="GF223" s="126">
        <f t="shared" si="55"/>
        <v>0</v>
      </c>
      <c r="GG223" s="126" t="str">
        <f t="shared" si="56"/>
        <v/>
      </c>
      <c r="GH223" s="126">
        <f t="shared" si="57"/>
        <v>0</v>
      </c>
      <c r="GI223" s="112"/>
      <c r="GJ223" s="116"/>
      <c r="GK223" s="119">
        <f t="shared" si="58"/>
        <v>17.3532582</v>
      </c>
      <c r="GL223" s="128">
        <f>1+((GK223-MIN(ratings_sums))*(4)/(MAX(ratings_sums) - MIN(ratings_sums)))</f>
        <v>4.117269381</v>
      </c>
    </row>
    <row r="224" ht="15.75" customHeight="1">
      <c r="A224" s="161" t="s">
        <v>1128</v>
      </c>
      <c r="B224" s="15">
        <v>1788203.0</v>
      </c>
      <c r="C224" s="162" t="s">
        <v>1487</v>
      </c>
      <c r="D224" s="163">
        <v>43832.48611111111</v>
      </c>
      <c r="E224" s="15" t="s">
        <v>392</v>
      </c>
      <c r="F224" s="164" t="s">
        <v>1488</v>
      </c>
      <c r="G224" s="164" t="s">
        <v>1489</v>
      </c>
      <c r="H224" s="210">
        <v>43763.0</v>
      </c>
      <c r="I224" s="162" t="s">
        <v>1490</v>
      </c>
      <c r="J224" s="162" t="s">
        <v>1487</v>
      </c>
      <c r="K224" s="15" t="s">
        <v>354</v>
      </c>
      <c r="L224" s="15" t="s">
        <v>390</v>
      </c>
      <c r="M224" s="15" t="s">
        <v>31</v>
      </c>
      <c r="N224" s="15" t="s">
        <v>82</v>
      </c>
      <c r="O224" s="15" t="s">
        <v>35</v>
      </c>
      <c r="Q224" s="15" t="s">
        <v>195</v>
      </c>
      <c r="R224" s="166"/>
      <c r="S224" s="120"/>
      <c r="T224" s="69"/>
      <c r="U224" s="69">
        <v>4000000.0</v>
      </c>
      <c r="V224" s="132">
        <v>0.1</v>
      </c>
      <c r="W224" s="96">
        <f t="shared" si="125"/>
        <v>3600000</v>
      </c>
      <c r="X224" s="98">
        <f t="shared" si="126"/>
        <v>3600000</v>
      </c>
      <c r="Y224" s="99" t="str">
        <f t="shared" si="127"/>
        <v>$2M - $4M</v>
      </c>
      <c r="Z224" s="15" t="s">
        <v>36</v>
      </c>
      <c r="AA224" s="15" t="s">
        <v>123</v>
      </c>
      <c r="AB224" s="15" t="s">
        <v>38</v>
      </c>
      <c r="AC224" s="15" t="s">
        <v>493</v>
      </c>
      <c r="AD224" s="15" t="s">
        <v>39</v>
      </c>
      <c r="AE224" s="15" t="s">
        <v>89</v>
      </c>
      <c r="AF224" s="15" t="s">
        <v>469</v>
      </c>
      <c r="AG224" s="69">
        <v>3.82E9</v>
      </c>
      <c r="AH224" s="97" t="str">
        <f t="shared" si="128"/>
        <v>$1B-$5B</v>
      </c>
      <c r="AI224" s="69">
        <v>3.82E9</v>
      </c>
      <c r="AJ224" s="97" t="str">
        <f t="shared" si="129"/>
        <v>$1B-$5B</v>
      </c>
      <c r="AK224" s="167">
        <v>0.26</v>
      </c>
      <c r="AL224" s="88" t="str">
        <f t="shared" si="130"/>
        <v>20%-30%</v>
      </c>
      <c r="AM224" s="32">
        <v>3.0</v>
      </c>
      <c r="AN224" s="15" t="s">
        <v>39</v>
      </c>
      <c r="AO224" s="15" t="s">
        <v>89</v>
      </c>
      <c r="AP224" s="15" t="s">
        <v>40</v>
      </c>
      <c r="AQ224" s="168"/>
      <c r="AR224" s="168"/>
      <c r="AS224" s="15" t="s">
        <v>469</v>
      </c>
      <c r="AT224" s="15" t="s">
        <v>469</v>
      </c>
      <c r="AU224" s="15" t="s">
        <v>493</v>
      </c>
      <c r="AV224" s="15" t="s">
        <v>493</v>
      </c>
      <c r="AW224" s="69">
        <v>57694.0</v>
      </c>
      <c r="AX224" s="96" t="str">
        <f t="shared" si="131"/>
        <v>$50K - $100K</v>
      </c>
      <c r="AY224" s="69">
        <v>5993.0</v>
      </c>
      <c r="AZ224" s="69">
        <v>81000.0</v>
      </c>
      <c r="BA224" s="103" t="str">
        <f t="shared" si="132"/>
        <v>$50K - $100K</v>
      </c>
      <c r="BB224" s="103">
        <f t="shared" si="133"/>
        <v>0.07398765432</v>
      </c>
      <c r="BC224" s="103" t="str">
        <f t="shared" si="134"/>
        <v>&lt; 10%</v>
      </c>
      <c r="BD224" s="15" t="s">
        <v>107</v>
      </c>
      <c r="BF224" s="15" t="s">
        <v>493</v>
      </c>
      <c r="BG224" s="15">
        <v>3.0</v>
      </c>
      <c r="BH224" s="15">
        <v>2.0</v>
      </c>
      <c r="BI224" s="15" t="s">
        <v>493</v>
      </c>
      <c r="BJ224" s="15" t="s">
        <v>469</v>
      </c>
      <c r="BK224" s="15" t="s">
        <v>469</v>
      </c>
      <c r="BL224" s="15" t="s">
        <v>469</v>
      </c>
      <c r="BM224" s="15">
        <v>2.0</v>
      </c>
      <c r="BN224" s="15">
        <v>2.0</v>
      </c>
      <c r="BO224" s="15">
        <v>0.0</v>
      </c>
      <c r="BP224" s="15">
        <v>0.0</v>
      </c>
      <c r="BQ224" s="108"/>
      <c r="BR224" s="15">
        <v>3.0</v>
      </c>
      <c r="BS224" s="15">
        <v>0.0</v>
      </c>
      <c r="BT224" s="15">
        <v>0.0</v>
      </c>
      <c r="BU224" s="15">
        <v>29.0</v>
      </c>
      <c r="BV224" s="15" t="s">
        <v>493</v>
      </c>
      <c r="BW224" s="108"/>
      <c r="BX224" s="15">
        <v>3.0</v>
      </c>
      <c r="BY224" s="15">
        <v>0.0</v>
      </c>
      <c r="BZ224" s="15">
        <v>0.0</v>
      </c>
      <c r="CA224" s="15">
        <v>36.0</v>
      </c>
      <c r="CB224" s="15" t="s">
        <v>469</v>
      </c>
      <c r="CC224" s="108"/>
      <c r="CI224" s="108"/>
      <c r="CO224" s="108"/>
      <c r="CU224" s="108"/>
      <c r="DA224" s="108"/>
      <c r="DG224" s="108"/>
      <c r="DM224" s="108"/>
      <c r="DS224" s="108"/>
      <c r="DT224" s="108"/>
      <c r="DU224" s="108"/>
      <c r="DW224" s="109"/>
      <c r="DX224" s="110">
        <f t="shared" si="13"/>
        <v>3</v>
      </c>
      <c r="DY224" s="111">
        <f t="shared" ref="DY224:DZ224" si="507">sum(BS224,BY224,CE224,CK224,CQ224,CW224,DC224,DI224,DO224)</f>
        <v>0</v>
      </c>
      <c r="DZ224" s="111">
        <f t="shared" si="507"/>
        <v>0</v>
      </c>
      <c r="EA224" s="110">
        <f t="shared" si="15"/>
        <v>32.5</v>
      </c>
      <c r="EB224" s="99" t="str">
        <f t="shared" si="16"/>
        <v>20 - 34</v>
      </c>
      <c r="EC224" s="112"/>
      <c r="ED224" s="113">
        <f t="shared" si="17"/>
        <v>4.6</v>
      </c>
      <c r="EE224" s="114">
        <f>IF(V224 &lt;&gt; "", 1+((V224-MIN(discount_rates))*(4)/(MAX(discount_rates) - MIN(discount_rates))), "")</f>
        <v>2.052631579</v>
      </c>
      <c r="EF224" s="114" t="str">
        <f>IF(Q224="Debt", (1+((S224-MIN(interest_rates))*(4)/(MAX(interest_rates) - MIN(interest_rates)))), "")</f>
        <v/>
      </c>
      <c r="EG224" s="114" t="str">
        <f>IF(OR(Q224="Revenue Share", Q224="Profit Share"), (1+((R224-MIN(return_mutiples))*(4)/(MAX(return_mutiples) - MIN(return_mutiples)))), "")</f>
        <v/>
      </c>
      <c r="EH224" s="115">
        <f t="shared" si="18"/>
        <v>4.6</v>
      </c>
      <c r="EI224" s="116" t="str">
        <f t="shared" si="19"/>
        <v>SAFE</v>
      </c>
      <c r="EJ224" s="117">
        <f t="shared" si="20"/>
        <v>0.3561643836</v>
      </c>
      <c r="EK224" s="116" t="str">
        <f t="shared" si="21"/>
        <v>Early</v>
      </c>
      <c r="EL224" s="112"/>
      <c r="EM224" s="118">
        <f t="shared" si="22"/>
        <v>2.7</v>
      </c>
      <c r="EN224" s="118">
        <f t="shared" si="23"/>
        <v>3</v>
      </c>
      <c r="EO224" s="119">
        <f t="shared" si="24"/>
        <v>5.7</v>
      </c>
      <c r="EP224" s="115">
        <f>1+((EO224-MIN(market_ratings_sums))*(4)/(MAX(market_ratings_sums) - MIN(market_ratings_sums)))</f>
        <v>3.105263158</v>
      </c>
      <c r="EQ224" s="116" t="str">
        <f t="shared" si="25"/>
        <v>No</v>
      </c>
      <c r="ER224" s="112"/>
      <c r="ES224" s="123">
        <f>1+((DX224-MIN(industry_experiences))*(4)/(MAX(industry_experiences) - MIN(industry_experiences)))</f>
        <v>1.285714286</v>
      </c>
      <c r="ET224" s="123">
        <f>1+((DY224-MIN(previous_startups))*(4)/(MAX(previous_startups) - MIN(previous_startups)))</f>
        <v>1</v>
      </c>
      <c r="EU224" s="123">
        <f>1+((DZ224-MIN(exits))*(4)/(MAX(exits) - MIN(exits)))</f>
        <v>1</v>
      </c>
      <c r="EV224" s="119">
        <f t="shared" si="26"/>
        <v>3.285714286</v>
      </c>
      <c r="EW224" s="124">
        <f>1+((EV224-MIN(team_ratings_sums))*(4)/(MAX(team_ratings_sums) - MIN(team_ratings_sums)))</f>
        <v>1.156521739</v>
      </c>
      <c r="EX224" s="116" t="str">
        <f t="shared" si="27"/>
        <v>20 - 34</v>
      </c>
      <c r="EY224" s="125">
        <f t="shared" si="28"/>
        <v>0.2054794521</v>
      </c>
      <c r="EZ224" s="116">
        <f t="shared" si="29"/>
        <v>2</v>
      </c>
      <c r="FA224" s="125">
        <f t="shared" si="30"/>
        <v>0.4520547945</v>
      </c>
      <c r="FB224" s="116">
        <f t="shared" si="31"/>
        <v>2</v>
      </c>
      <c r="FC224" s="125">
        <f t="shared" si="32"/>
        <v>0.1369863014</v>
      </c>
      <c r="FD224" s="116" t="str">
        <f t="shared" si="33"/>
        <v>Yes</v>
      </c>
      <c r="FE224" s="125">
        <f t="shared" si="34"/>
        <v>0.2465753425</v>
      </c>
      <c r="FF224" s="116" t="str">
        <f t="shared" ref="FF224:FH224" si="508">BJ224</f>
        <v>No</v>
      </c>
      <c r="FG224" s="116" t="str">
        <f t="shared" si="508"/>
        <v>No</v>
      </c>
      <c r="FH224" s="116" t="str">
        <f t="shared" si="508"/>
        <v>No</v>
      </c>
      <c r="FI224" s="112"/>
      <c r="FJ224" s="116" t="str">
        <f t="shared" si="36"/>
        <v>Transactional</v>
      </c>
      <c r="FK224" s="125">
        <f t="shared" si="37"/>
        <v>0.602739726</v>
      </c>
      <c r="FL224" s="116" t="str">
        <f t="shared" si="38"/>
        <v>B2B/B2C</v>
      </c>
      <c r="FM224" s="125">
        <f t="shared" si="39"/>
        <v>0.3287671233</v>
      </c>
      <c r="FN224" s="116" t="str">
        <f t="shared" si="40"/>
        <v>High</v>
      </c>
      <c r="FO224" s="125">
        <f t="shared" si="41"/>
        <v>0.5616438356</v>
      </c>
      <c r="FP224" s="116" t="str">
        <f t="shared" si="42"/>
        <v>Low</v>
      </c>
      <c r="FQ224" s="125">
        <f t="shared" si="43"/>
        <v>0.3561643836</v>
      </c>
      <c r="FR224" s="112"/>
      <c r="FS224" s="123">
        <f t="shared" si="44"/>
        <v>5</v>
      </c>
      <c r="FT224" s="123">
        <f t="shared" si="45"/>
        <v>1.9</v>
      </c>
      <c r="FU224" s="123">
        <f t="shared" si="46"/>
        <v>5</v>
      </c>
      <c r="FV224" s="123">
        <f t="shared" si="47"/>
        <v>4.1</v>
      </c>
      <c r="FW224" s="119">
        <f t="shared" si="48"/>
        <v>16</v>
      </c>
      <c r="FX224" s="115">
        <f>1+((FW224-MIN(performance_ratings_sums))*(4)/(MAX(performance_ratings_sums) - MIN(performance_ratings_sums)))</f>
        <v>4.476635514</v>
      </c>
      <c r="FY224" s="116" t="str">
        <f t="shared" si="49"/>
        <v>Pre-Profit</v>
      </c>
      <c r="FZ224" s="126">
        <f t="shared" si="50"/>
        <v>0.4931506849</v>
      </c>
      <c r="GA224" s="112"/>
      <c r="GB224" s="127">
        <f t="shared" si="51"/>
        <v>3</v>
      </c>
      <c r="GC224" s="116" t="str">
        <f t="shared" si="52"/>
        <v>No</v>
      </c>
      <c r="GD224" s="126">
        <f t="shared" si="53"/>
        <v>0.7671232877</v>
      </c>
      <c r="GE224" s="126" t="str">
        <f t="shared" si="54"/>
        <v/>
      </c>
      <c r="GF224" s="126">
        <f t="shared" si="55"/>
        <v>0</v>
      </c>
      <c r="GG224" s="126" t="str">
        <f t="shared" si="56"/>
        <v/>
      </c>
      <c r="GH224" s="126">
        <f t="shared" si="57"/>
        <v>0</v>
      </c>
      <c r="GI224" s="112"/>
      <c r="GJ224" s="116"/>
      <c r="GK224" s="119">
        <f t="shared" si="58"/>
        <v>16.33842041</v>
      </c>
      <c r="GL224" s="128">
        <f>1+((GK224-MIN(ratings_sums))*(4)/(MAX(ratings_sums) - MIN(ratings_sums)))</f>
        <v>3.805876588</v>
      </c>
    </row>
    <row r="225" ht="15.75" customHeight="1">
      <c r="A225" s="161" t="s">
        <v>1128</v>
      </c>
      <c r="B225" s="15">
        <v>1767636.0</v>
      </c>
      <c r="C225" s="162" t="s">
        <v>1491</v>
      </c>
      <c r="D225" s="163">
        <v>43832.55138888889</v>
      </c>
      <c r="E225" s="15" t="s">
        <v>343</v>
      </c>
      <c r="F225" s="164" t="s">
        <v>1492</v>
      </c>
      <c r="G225" s="164" t="s">
        <v>1493</v>
      </c>
      <c r="H225" s="210">
        <v>43830.0</v>
      </c>
      <c r="I225" s="162" t="s">
        <v>1494</v>
      </c>
      <c r="J225" s="162" t="s">
        <v>1495</v>
      </c>
      <c r="K225" s="15" t="s">
        <v>457</v>
      </c>
      <c r="L225" s="15" t="s">
        <v>390</v>
      </c>
      <c r="M225" s="15" t="s">
        <v>31</v>
      </c>
      <c r="N225" s="15" t="s">
        <v>82</v>
      </c>
      <c r="O225" s="15" t="s">
        <v>35</v>
      </c>
      <c r="Q225" s="15" t="s">
        <v>121</v>
      </c>
      <c r="R225" s="166"/>
      <c r="S225" s="120"/>
      <c r="T225" s="69">
        <v>2500000.0</v>
      </c>
      <c r="U225" s="69"/>
      <c r="V225" s="132"/>
      <c r="W225" s="96" t="str">
        <f t="shared" si="125"/>
        <v/>
      </c>
      <c r="X225" s="98">
        <f t="shared" si="126"/>
        <v>2500000</v>
      </c>
      <c r="Y225" s="99" t="str">
        <f t="shared" si="127"/>
        <v>$2M - $4M</v>
      </c>
      <c r="Z225" s="15" t="s">
        <v>86</v>
      </c>
      <c r="AA225" s="15" t="s">
        <v>87</v>
      </c>
      <c r="AB225" s="15" t="s">
        <v>38</v>
      </c>
      <c r="AC225" s="15" t="s">
        <v>493</v>
      </c>
      <c r="AD225" s="15" t="s">
        <v>89</v>
      </c>
      <c r="AE225" s="15" t="s">
        <v>89</v>
      </c>
      <c r="AF225" s="15" t="s">
        <v>469</v>
      </c>
      <c r="AG225" s="69">
        <v>1.096E11</v>
      </c>
      <c r="AH225" s="97" t="str">
        <f t="shared" si="128"/>
        <v>$100B-$250B</v>
      </c>
      <c r="AI225" s="69">
        <v>4.086E10</v>
      </c>
      <c r="AJ225" s="97" t="str">
        <f t="shared" si="129"/>
        <v>$25B-$50B</v>
      </c>
      <c r="AK225" s="167">
        <v>0.04</v>
      </c>
      <c r="AL225" s="88" t="str">
        <f t="shared" si="130"/>
        <v>0%-10%</v>
      </c>
      <c r="AM225" s="32">
        <v>38477.0</v>
      </c>
      <c r="AN225" s="15" t="s">
        <v>39</v>
      </c>
      <c r="AO225" s="15" t="s">
        <v>89</v>
      </c>
      <c r="AP225" s="15" t="s">
        <v>40</v>
      </c>
      <c r="AQ225" s="168"/>
      <c r="AR225" s="168"/>
      <c r="AS225" s="15" t="s">
        <v>493</v>
      </c>
      <c r="AT225" s="15" t="s">
        <v>469</v>
      </c>
      <c r="AU225" s="15" t="s">
        <v>493</v>
      </c>
      <c r="AV225" s="15" t="s">
        <v>493</v>
      </c>
      <c r="AW225" s="69">
        <v>70379.0</v>
      </c>
      <c r="AX225" s="96" t="str">
        <f t="shared" si="131"/>
        <v>$50K - $100K</v>
      </c>
      <c r="AY225" s="69">
        <v>1840.0</v>
      </c>
      <c r="AZ225" s="69">
        <v>0.0</v>
      </c>
      <c r="BA225" s="103" t="str">
        <f t="shared" si="132"/>
        <v>&lt; $10K</v>
      </c>
      <c r="BB225" s="103">
        <f t="shared" si="133"/>
        <v>1</v>
      </c>
      <c r="BC225" s="103" t="str">
        <f t="shared" si="134"/>
        <v>90% - 100%</v>
      </c>
      <c r="BD225" s="15" t="s">
        <v>124</v>
      </c>
      <c r="BF225" s="15" t="s">
        <v>469</v>
      </c>
      <c r="BG225" s="15">
        <v>0.0</v>
      </c>
      <c r="BH225" s="15">
        <v>1.0</v>
      </c>
      <c r="BI225" s="15" t="s">
        <v>493</v>
      </c>
      <c r="BJ225" s="15" t="s">
        <v>469</v>
      </c>
      <c r="BK225" s="15" t="s">
        <v>493</v>
      </c>
      <c r="BL225" s="15" t="s">
        <v>469</v>
      </c>
      <c r="BM225" s="15">
        <v>1.0</v>
      </c>
      <c r="BN225" s="15">
        <v>2.0</v>
      </c>
      <c r="BO225" s="15">
        <v>0.0</v>
      </c>
      <c r="BP225" s="15">
        <v>0.0</v>
      </c>
      <c r="BQ225" s="108"/>
      <c r="BR225" s="15">
        <v>0.0</v>
      </c>
      <c r="BS225" s="15">
        <v>0.0</v>
      </c>
      <c r="BT225" s="15">
        <v>0.0</v>
      </c>
      <c r="BU225" s="15">
        <v>42.0</v>
      </c>
      <c r="BV225" s="15" t="s">
        <v>469</v>
      </c>
      <c r="BW225" s="108"/>
      <c r="CC225" s="108"/>
      <c r="CI225" s="108"/>
      <c r="CO225" s="108"/>
      <c r="CU225" s="108"/>
      <c r="DA225" s="108"/>
      <c r="DG225" s="108"/>
      <c r="DM225" s="108"/>
      <c r="DS225" s="108"/>
      <c r="DT225" s="108"/>
      <c r="DU225" s="108"/>
      <c r="DW225" s="109"/>
      <c r="DX225" s="110">
        <f t="shared" si="13"/>
        <v>0</v>
      </c>
      <c r="DY225" s="111">
        <f t="shared" ref="DY225:DZ225" si="509">sum(BS225,BY225,CE225,CK225,CQ225,CW225,DC225,DI225,DO225)</f>
        <v>0</v>
      </c>
      <c r="DZ225" s="111">
        <f t="shared" si="509"/>
        <v>0</v>
      </c>
      <c r="EA225" s="110">
        <f t="shared" si="15"/>
        <v>42</v>
      </c>
      <c r="EB225" s="99" t="str">
        <f t="shared" si="16"/>
        <v>35 - 54</v>
      </c>
      <c r="EC225" s="112"/>
      <c r="ED225" s="113">
        <f t="shared" si="17"/>
        <v>4.6</v>
      </c>
      <c r="EE225" s="114" t="str">
        <f>IF(V225 &lt;&gt; "", 1+((V225-MIN(discount_rates))*(4)/(MAX(discount_rates) - MIN(discount_rates))), "")</f>
        <v/>
      </c>
      <c r="EF225" s="114" t="str">
        <f>IF(Q225="Debt", (1+((S225-MIN(interest_rates))*(4)/(MAX(interest_rates) - MIN(interest_rates)))), "")</f>
        <v/>
      </c>
      <c r="EG225" s="114" t="str">
        <f>IF(OR(Q225="Revenue Share", Q225="Profit Share"), (1+((R225-MIN(return_mutiples))*(4)/(MAX(return_mutiples) - MIN(return_mutiples)))), "")</f>
        <v/>
      </c>
      <c r="EH225" s="115">
        <f t="shared" si="18"/>
        <v>4.6</v>
      </c>
      <c r="EI225" s="116" t="str">
        <f t="shared" si="19"/>
        <v>Equity - Common</v>
      </c>
      <c r="EJ225" s="117">
        <f t="shared" si="20"/>
        <v>0.3287671233</v>
      </c>
      <c r="EK225" s="116" t="str">
        <f t="shared" si="21"/>
        <v>Early</v>
      </c>
      <c r="EL225" s="112"/>
      <c r="EM225" s="118">
        <f t="shared" si="22"/>
        <v>3.6</v>
      </c>
      <c r="EN225" s="118">
        <f t="shared" si="23"/>
        <v>1.7</v>
      </c>
      <c r="EO225" s="119">
        <f t="shared" si="24"/>
        <v>5.3</v>
      </c>
      <c r="EP225" s="115">
        <f>1+((EO225-MIN(market_ratings_sums))*(4)/(MAX(market_ratings_sums) - MIN(market_ratings_sums)))</f>
        <v>2.824561404</v>
      </c>
      <c r="EQ225" s="116" t="str">
        <f t="shared" si="25"/>
        <v>Yes</v>
      </c>
      <c r="ER225" s="112"/>
      <c r="ES225" s="123">
        <f>1+((DX225-MIN(industry_experiences))*(4)/(MAX(industry_experiences) - MIN(industry_experiences)))</f>
        <v>1</v>
      </c>
      <c r="ET225" s="123">
        <f>1+((DY225-MIN(previous_startups))*(4)/(MAX(previous_startups) - MIN(previous_startups)))</f>
        <v>1</v>
      </c>
      <c r="EU225" s="123">
        <f>1+((DZ225-MIN(exits))*(4)/(MAX(exits) - MIN(exits)))</f>
        <v>1</v>
      </c>
      <c r="EV225" s="119">
        <f t="shared" si="26"/>
        <v>3</v>
      </c>
      <c r="EW225" s="124">
        <f>1+((EV225-MIN(team_ratings_sums))*(4)/(MAX(team_ratings_sums) - MIN(team_ratings_sums)))</f>
        <v>1</v>
      </c>
      <c r="EX225" s="116" t="str">
        <f t="shared" si="27"/>
        <v>35 - 54</v>
      </c>
      <c r="EY225" s="125">
        <f t="shared" si="28"/>
        <v>0.6849315068</v>
      </c>
      <c r="EZ225" s="116">
        <f t="shared" si="29"/>
        <v>1</v>
      </c>
      <c r="FA225" s="125">
        <f t="shared" si="30"/>
        <v>0.4383561644</v>
      </c>
      <c r="FB225" s="116">
        <f t="shared" si="31"/>
        <v>2</v>
      </c>
      <c r="FC225" s="125">
        <f t="shared" si="32"/>
        <v>0.1369863014</v>
      </c>
      <c r="FD225" s="116" t="str">
        <f t="shared" si="33"/>
        <v>Yes</v>
      </c>
      <c r="FE225" s="125">
        <f t="shared" si="34"/>
        <v>0.2465753425</v>
      </c>
      <c r="FF225" s="116" t="str">
        <f t="shared" ref="FF225:FH225" si="510">BJ225</f>
        <v>No</v>
      </c>
      <c r="FG225" s="116" t="str">
        <f t="shared" si="510"/>
        <v>Yes</v>
      </c>
      <c r="FH225" s="116" t="str">
        <f t="shared" si="510"/>
        <v>No</v>
      </c>
      <c r="FI225" s="112"/>
      <c r="FJ225" s="116" t="str">
        <f t="shared" si="36"/>
        <v>Recurring</v>
      </c>
      <c r="FK225" s="125">
        <f t="shared" si="37"/>
        <v>0.397260274</v>
      </c>
      <c r="FL225" s="116" t="str">
        <f t="shared" si="38"/>
        <v>B2C</v>
      </c>
      <c r="FM225" s="125">
        <f t="shared" si="39"/>
        <v>0.397260274</v>
      </c>
      <c r="FN225" s="116" t="str">
        <f t="shared" si="40"/>
        <v>Low</v>
      </c>
      <c r="FO225" s="125">
        <f t="shared" si="41"/>
        <v>0.4383561644</v>
      </c>
      <c r="FP225" s="116" t="str">
        <f t="shared" si="42"/>
        <v>Low</v>
      </c>
      <c r="FQ225" s="125">
        <f t="shared" si="43"/>
        <v>0.3561643836</v>
      </c>
      <c r="FR225" s="112"/>
      <c r="FS225" s="123">
        <f t="shared" si="44"/>
        <v>5</v>
      </c>
      <c r="FT225" s="123">
        <f t="shared" si="45"/>
        <v>1.9</v>
      </c>
      <c r="FU225" s="123">
        <f t="shared" si="46"/>
        <v>1</v>
      </c>
      <c r="FV225" s="123">
        <f t="shared" si="47"/>
        <v>5</v>
      </c>
      <c r="FW225" s="119">
        <f t="shared" si="48"/>
        <v>12.9</v>
      </c>
      <c r="FX225" s="115">
        <f>1+((FW225-MIN(performance_ratings_sums))*(4)/(MAX(performance_ratings_sums) - MIN(performance_ratings_sums)))</f>
        <v>3.317757009</v>
      </c>
      <c r="FY225" s="116" t="str">
        <f t="shared" si="49"/>
        <v>Profitable</v>
      </c>
      <c r="FZ225" s="126">
        <f t="shared" si="50"/>
        <v>0.06849315068</v>
      </c>
      <c r="GA225" s="112"/>
      <c r="GB225" s="127">
        <f t="shared" si="51"/>
        <v>3</v>
      </c>
      <c r="GC225" s="116" t="str">
        <f t="shared" si="52"/>
        <v>No</v>
      </c>
      <c r="GD225" s="126">
        <f t="shared" si="53"/>
        <v>0.7671232877</v>
      </c>
      <c r="GE225" s="126" t="str">
        <f t="shared" si="54"/>
        <v/>
      </c>
      <c r="GF225" s="126">
        <f t="shared" si="55"/>
        <v>0</v>
      </c>
      <c r="GG225" s="126" t="str">
        <f t="shared" si="56"/>
        <v/>
      </c>
      <c r="GH225" s="126">
        <f t="shared" si="57"/>
        <v>0</v>
      </c>
      <c r="GI225" s="112"/>
      <c r="GJ225" s="116"/>
      <c r="GK225" s="119">
        <f t="shared" si="58"/>
        <v>14.74231841</v>
      </c>
      <c r="GL225" s="128">
        <f>1+((GK225-MIN(ratings_sums))*(4)/(MAX(ratings_sums) - MIN(ratings_sums)))</f>
        <v>3.316128703</v>
      </c>
    </row>
    <row r="226" ht="15.75" customHeight="1">
      <c r="A226" s="161" t="s">
        <v>1128</v>
      </c>
      <c r="B226" s="15">
        <v>1760049.0</v>
      </c>
      <c r="C226" s="162" t="s">
        <v>1496</v>
      </c>
      <c r="D226" s="163">
        <v>43832.55347222222</v>
      </c>
      <c r="E226" s="15" t="s">
        <v>343</v>
      </c>
      <c r="F226" s="164" t="s">
        <v>1497</v>
      </c>
      <c r="G226" s="164" t="s">
        <v>1498</v>
      </c>
      <c r="H226" s="210">
        <v>43887.0</v>
      </c>
      <c r="I226" s="162" t="s">
        <v>1499</v>
      </c>
      <c r="J226" s="162" t="s">
        <v>1496</v>
      </c>
      <c r="K226" s="15" t="s">
        <v>361</v>
      </c>
      <c r="L226" s="15" t="s">
        <v>221</v>
      </c>
      <c r="M226" s="15" t="s">
        <v>31</v>
      </c>
      <c r="N226" s="15" t="s">
        <v>82</v>
      </c>
      <c r="O226" s="15" t="s">
        <v>35</v>
      </c>
      <c r="Q226" s="15" t="s">
        <v>195</v>
      </c>
      <c r="R226" s="166"/>
      <c r="S226" s="120"/>
      <c r="T226" s="69"/>
      <c r="U226" s="69">
        <v>6000000.0</v>
      </c>
      <c r="V226" s="132">
        <v>0.2</v>
      </c>
      <c r="W226" s="96">
        <f t="shared" si="125"/>
        <v>4800000</v>
      </c>
      <c r="X226" s="98">
        <f t="shared" si="126"/>
        <v>4800000</v>
      </c>
      <c r="Y226" s="99" t="str">
        <f t="shared" si="127"/>
        <v>$4M - $6M</v>
      </c>
      <c r="Z226" s="15" t="s">
        <v>36</v>
      </c>
      <c r="AA226" s="15" t="s">
        <v>87</v>
      </c>
      <c r="AB226" s="15" t="s">
        <v>88</v>
      </c>
      <c r="AC226" s="15" t="s">
        <v>493</v>
      </c>
      <c r="AD226" s="15" t="s">
        <v>39</v>
      </c>
      <c r="AE226" s="15" t="s">
        <v>89</v>
      </c>
      <c r="AF226" s="15" t="s">
        <v>469</v>
      </c>
      <c r="AG226" s="69">
        <v>6.97E8</v>
      </c>
      <c r="AH226" s="97" t="str">
        <f t="shared" si="128"/>
        <v>$500M-$1B</v>
      </c>
      <c r="AI226" s="69">
        <v>6.97E8</v>
      </c>
      <c r="AJ226" s="97" t="str">
        <f t="shared" si="129"/>
        <v>$500M-$1B</v>
      </c>
      <c r="AK226" s="167">
        <v>0.05</v>
      </c>
      <c r="AL226" s="88" t="str">
        <f t="shared" si="130"/>
        <v>0%-10%</v>
      </c>
      <c r="AM226" s="15">
        <v>6.0</v>
      </c>
      <c r="AN226" s="15" t="s">
        <v>89</v>
      </c>
      <c r="AO226" s="15" t="s">
        <v>89</v>
      </c>
      <c r="AP226" s="15" t="s">
        <v>40</v>
      </c>
      <c r="AQ226" s="168"/>
      <c r="AR226" s="168"/>
      <c r="AS226" s="15" t="s">
        <v>469</v>
      </c>
      <c r="AT226" s="15" t="s">
        <v>469</v>
      </c>
      <c r="AU226" s="15" t="s">
        <v>493</v>
      </c>
      <c r="AV226" s="15" t="s">
        <v>493</v>
      </c>
      <c r="AW226" s="69">
        <v>279257.0</v>
      </c>
      <c r="AX226" s="96" t="str">
        <f t="shared" si="131"/>
        <v>$100K - $500K</v>
      </c>
      <c r="AY226" s="69">
        <v>4759.0</v>
      </c>
      <c r="AZ226" s="69">
        <v>63063.0</v>
      </c>
      <c r="BA226" s="103" t="str">
        <f t="shared" si="132"/>
        <v>$50K - $100K</v>
      </c>
      <c r="BB226" s="103">
        <f t="shared" si="133"/>
        <v>0.07546421832</v>
      </c>
      <c r="BC226" s="103" t="str">
        <f t="shared" si="134"/>
        <v>&lt; 10%</v>
      </c>
      <c r="BD226" s="15" t="s">
        <v>107</v>
      </c>
      <c r="BF226" s="15" t="s">
        <v>469</v>
      </c>
      <c r="BG226" s="15">
        <v>0.0</v>
      </c>
      <c r="BH226" s="15">
        <v>2.0</v>
      </c>
      <c r="BI226" s="15" t="s">
        <v>493</v>
      </c>
      <c r="BJ226" s="15" t="s">
        <v>469</v>
      </c>
      <c r="BK226" s="15" t="s">
        <v>493</v>
      </c>
      <c r="BL226" s="15" t="s">
        <v>469</v>
      </c>
      <c r="BM226" s="15">
        <v>3.0</v>
      </c>
      <c r="BN226" s="15">
        <v>5.0</v>
      </c>
      <c r="BO226" s="15">
        <v>0.0</v>
      </c>
      <c r="BP226" s="15">
        <v>0.0</v>
      </c>
      <c r="BQ226" s="108"/>
      <c r="BR226" s="15">
        <v>3.0</v>
      </c>
      <c r="BS226" s="15">
        <v>2.0</v>
      </c>
      <c r="BT226" s="15">
        <v>0.0</v>
      </c>
      <c r="BU226" s="15">
        <v>42.0</v>
      </c>
      <c r="BV226" s="15" t="s">
        <v>469</v>
      </c>
      <c r="BW226" s="108"/>
      <c r="BX226" s="15">
        <v>2.0</v>
      </c>
      <c r="BY226" s="15">
        <v>1.0</v>
      </c>
      <c r="BZ226" s="15">
        <v>0.0</v>
      </c>
      <c r="CA226" s="15">
        <v>25.0</v>
      </c>
      <c r="CB226" s="15" t="s">
        <v>469</v>
      </c>
      <c r="CC226" s="108"/>
      <c r="CI226" s="108"/>
      <c r="CO226" s="108"/>
      <c r="CU226" s="108"/>
      <c r="DA226" s="108"/>
      <c r="DG226" s="108"/>
      <c r="DM226" s="108"/>
      <c r="DS226" s="108"/>
      <c r="DT226" s="108"/>
      <c r="DU226" s="108"/>
      <c r="DW226" s="109"/>
      <c r="DX226" s="110">
        <f t="shared" si="13"/>
        <v>2.5</v>
      </c>
      <c r="DY226" s="111">
        <f t="shared" ref="DY226:DZ226" si="511">sum(BS226,BY226,CE226,CK226,CQ226,CW226,DC226,DI226,DO226)</f>
        <v>3</v>
      </c>
      <c r="DZ226" s="111">
        <f t="shared" si="511"/>
        <v>0</v>
      </c>
      <c r="EA226" s="110">
        <f t="shared" si="15"/>
        <v>33.5</v>
      </c>
      <c r="EB226" s="99" t="str">
        <f t="shared" si="16"/>
        <v>20 - 34</v>
      </c>
      <c r="EC226" s="112"/>
      <c r="ED226" s="113">
        <f t="shared" si="17"/>
        <v>4.4</v>
      </c>
      <c r="EE226" s="114">
        <f>IF(V226 &lt;&gt; "", 1+((V226-MIN(discount_rates))*(4)/(MAX(discount_rates) - MIN(discount_rates))), "")</f>
        <v>3.105263158</v>
      </c>
      <c r="EF226" s="114" t="str">
        <f>IF(Q226="Debt", (1+((S226-MIN(interest_rates))*(4)/(MAX(interest_rates) - MIN(interest_rates)))), "")</f>
        <v/>
      </c>
      <c r="EG226" s="114" t="str">
        <f>IF(OR(Q226="Revenue Share", Q226="Profit Share"), (1+((R226-MIN(return_mutiples))*(4)/(MAX(return_mutiples) - MIN(return_mutiples)))), "")</f>
        <v/>
      </c>
      <c r="EH226" s="115">
        <f t="shared" si="18"/>
        <v>4.4</v>
      </c>
      <c r="EI226" s="116" t="str">
        <f t="shared" si="19"/>
        <v>SAFE</v>
      </c>
      <c r="EJ226" s="117">
        <f t="shared" si="20"/>
        <v>0.3561643836</v>
      </c>
      <c r="EK226" s="116" t="str">
        <f t="shared" si="21"/>
        <v>Early</v>
      </c>
      <c r="EL226" s="112"/>
      <c r="EM226" s="118">
        <f t="shared" si="22"/>
        <v>2.4</v>
      </c>
      <c r="EN226" s="118">
        <f t="shared" si="23"/>
        <v>1.7</v>
      </c>
      <c r="EO226" s="119">
        <f t="shared" si="24"/>
        <v>4.1</v>
      </c>
      <c r="EP226" s="115">
        <f>1+((EO226-MIN(market_ratings_sums))*(4)/(MAX(market_ratings_sums) - MIN(market_ratings_sums)))</f>
        <v>1.98245614</v>
      </c>
      <c r="EQ226" s="116" t="str">
        <f t="shared" si="25"/>
        <v>No</v>
      </c>
      <c r="ER226" s="112"/>
      <c r="ES226" s="123">
        <f>1+((DX226-MIN(industry_experiences))*(4)/(MAX(industry_experiences) - MIN(industry_experiences)))</f>
        <v>1.238095238</v>
      </c>
      <c r="ET226" s="123">
        <f>1+((DY226-MIN(previous_startups))*(4)/(MAX(previous_startups) - MIN(previous_startups)))</f>
        <v>2.333333333</v>
      </c>
      <c r="EU226" s="123">
        <f>1+((DZ226-MIN(exits))*(4)/(MAX(exits) - MIN(exits)))</f>
        <v>1</v>
      </c>
      <c r="EV226" s="119">
        <f t="shared" si="26"/>
        <v>4.571428571</v>
      </c>
      <c r="EW226" s="124">
        <f>1+((EV226-MIN(team_ratings_sums))*(4)/(MAX(team_ratings_sums) - MIN(team_ratings_sums)))</f>
        <v>1.860869565</v>
      </c>
      <c r="EX226" s="116" t="str">
        <f t="shared" si="27"/>
        <v>20 - 34</v>
      </c>
      <c r="EY226" s="125">
        <f t="shared" si="28"/>
        <v>0.2054794521</v>
      </c>
      <c r="EZ226" s="116">
        <f t="shared" si="29"/>
        <v>2</v>
      </c>
      <c r="FA226" s="125">
        <f t="shared" si="30"/>
        <v>0.4520547945</v>
      </c>
      <c r="FB226" s="116">
        <f t="shared" si="31"/>
        <v>5</v>
      </c>
      <c r="FC226" s="125">
        <f t="shared" si="32"/>
        <v>0.1369863014</v>
      </c>
      <c r="FD226" s="116" t="str">
        <f t="shared" si="33"/>
        <v>Yes</v>
      </c>
      <c r="FE226" s="125">
        <f t="shared" si="34"/>
        <v>0.2465753425</v>
      </c>
      <c r="FF226" s="116" t="str">
        <f t="shared" ref="FF226:FH226" si="512">BJ226</f>
        <v>No</v>
      </c>
      <c r="FG226" s="116" t="str">
        <f t="shared" si="512"/>
        <v>Yes</v>
      </c>
      <c r="FH226" s="116" t="str">
        <f t="shared" si="512"/>
        <v>No</v>
      </c>
      <c r="FI226" s="112"/>
      <c r="FJ226" s="116" t="str">
        <f t="shared" si="36"/>
        <v>Transactional</v>
      </c>
      <c r="FK226" s="125">
        <f t="shared" si="37"/>
        <v>0.602739726</v>
      </c>
      <c r="FL226" s="116" t="str">
        <f t="shared" si="38"/>
        <v>B2C</v>
      </c>
      <c r="FM226" s="125">
        <f t="shared" si="39"/>
        <v>0.397260274</v>
      </c>
      <c r="FN226" s="116" t="str">
        <f t="shared" si="40"/>
        <v>High</v>
      </c>
      <c r="FO226" s="125">
        <f t="shared" si="41"/>
        <v>0.5616438356</v>
      </c>
      <c r="FP226" s="116" t="str">
        <f t="shared" si="42"/>
        <v>Low</v>
      </c>
      <c r="FQ226" s="125">
        <f t="shared" si="43"/>
        <v>0.3561643836</v>
      </c>
      <c r="FR226" s="112"/>
      <c r="FS226" s="123">
        <f t="shared" si="44"/>
        <v>5</v>
      </c>
      <c r="FT226" s="123">
        <f t="shared" si="45"/>
        <v>2.3</v>
      </c>
      <c r="FU226" s="123">
        <f t="shared" si="46"/>
        <v>5</v>
      </c>
      <c r="FV226" s="123">
        <f t="shared" si="47"/>
        <v>4.1</v>
      </c>
      <c r="FW226" s="119">
        <f t="shared" si="48"/>
        <v>16.4</v>
      </c>
      <c r="FX226" s="115">
        <f>1+((FW226-MIN(performance_ratings_sums))*(4)/(MAX(performance_ratings_sums) - MIN(performance_ratings_sums)))</f>
        <v>4.626168224</v>
      </c>
      <c r="FY226" s="116" t="str">
        <f t="shared" si="49"/>
        <v>Pre-Profit</v>
      </c>
      <c r="FZ226" s="126">
        <f t="shared" si="50"/>
        <v>0.4931506849</v>
      </c>
      <c r="GA226" s="112"/>
      <c r="GB226" s="127">
        <f t="shared" si="51"/>
        <v>1</v>
      </c>
      <c r="GC226" s="116" t="str">
        <f t="shared" si="52"/>
        <v>No</v>
      </c>
      <c r="GD226" s="126">
        <f t="shared" si="53"/>
        <v>0.7671232877</v>
      </c>
      <c r="GE226" s="126" t="str">
        <f t="shared" si="54"/>
        <v/>
      </c>
      <c r="GF226" s="126">
        <f t="shared" si="55"/>
        <v>0</v>
      </c>
      <c r="GG226" s="126" t="str">
        <f t="shared" si="56"/>
        <v/>
      </c>
      <c r="GH226" s="126">
        <f t="shared" si="57"/>
        <v>0</v>
      </c>
      <c r="GI226" s="112"/>
      <c r="GJ226" s="116"/>
      <c r="GK226" s="119">
        <f t="shared" si="58"/>
        <v>13.86949393</v>
      </c>
      <c r="GL226" s="128">
        <f>1+((GK226-MIN(ratings_sums))*(4)/(MAX(ratings_sums) - MIN(ratings_sums)))</f>
        <v>3.048311267</v>
      </c>
    </row>
    <row r="227" ht="15.75" customHeight="1">
      <c r="A227" s="161" t="s">
        <v>1128</v>
      </c>
      <c r="B227" s="15">
        <v>1736423.0</v>
      </c>
      <c r="C227" s="162" t="s">
        <v>1500</v>
      </c>
      <c r="D227" s="209">
        <v>43853.36736111111</v>
      </c>
      <c r="E227" s="15" t="s">
        <v>369</v>
      </c>
      <c r="F227" s="164" t="s">
        <v>1501</v>
      </c>
      <c r="G227" s="164" t="s">
        <v>1502</v>
      </c>
      <c r="H227" s="210">
        <v>43852.0</v>
      </c>
      <c r="I227" s="162" t="s">
        <v>1503</v>
      </c>
      <c r="J227" s="162" t="s">
        <v>1500</v>
      </c>
      <c r="K227" s="15" t="s">
        <v>503</v>
      </c>
      <c r="L227" s="15" t="s">
        <v>355</v>
      </c>
      <c r="M227" s="15" t="s">
        <v>31</v>
      </c>
      <c r="N227" s="15" t="s">
        <v>82</v>
      </c>
      <c r="O227" s="15" t="s">
        <v>35</v>
      </c>
      <c r="Q227" s="15" t="s">
        <v>195</v>
      </c>
      <c r="R227" s="166"/>
      <c r="S227" s="120"/>
      <c r="T227" s="69"/>
      <c r="U227" s="69">
        <v>3000000.0</v>
      </c>
      <c r="V227" s="132">
        <v>0.0</v>
      </c>
      <c r="W227" s="96">
        <f t="shared" si="125"/>
        <v>3000000</v>
      </c>
      <c r="X227" s="98">
        <f t="shared" si="126"/>
        <v>3000000</v>
      </c>
      <c r="Y227" s="99" t="str">
        <f t="shared" si="127"/>
        <v>$2M - $4M</v>
      </c>
      <c r="Z227" s="15" t="s">
        <v>86</v>
      </c>
      <c r="AA227" s="15" t="s">
        <v>87</v>
      </c>
      <c r="AB227" s="15" t="s">
        <v>88</v>
      </c>
      <c r="AC227" s="15" t="s">
        <v>493</v>
      </c>
      <c r="AD227" s="15" t="s">
        <v>39</v>
      </c>
      <c r="AE227" s="15" t="s">
        <v>89</v>
      </c>
      <c r="AF227" s="15" t="s">
        <v>493</v>
      </c>
      <c r="AG227" s="69">
        <v>1.23E11</v>
      </c>
      <c r="AH227" s="97" t="str">
        <f t="shared" si="128"/>
        <v>$100B-$250B</v>
      </c>
      <c r="AI227" s="69">
        <v>1.23E11</v>
      </c>
      <c r="AJ227" s="97" t="str">
        <f t="shared" si="129"/>
        <v>$100B-$250B</v>
      </c>
      <c r="AK227" s="167">
        <v>0.13</v>
      </c>
      <c r="AL227" s="88" t="str">
        <f t="shared" si="130"/>
        <v>10%-20%</v>
      </c>
      <c r="AM227" s="15">
        <v>4.0</v>
      </c>
      <c r="AN227" s="15" t="s">
        <v>39</v>
      </c>
      <c r="AO227" s="15" t="s">
        <v>89</v>
      </c>
      <c r="AP227" s="15" t="s">
        <v>90</v>
      </c>
      <c r="AQ227" s="168"/>
      <c r="AR227" s="168"/>
      <c r="AS227" s="15" t="s">
        <v>469</v>
      </c>
      <c r="AT227" s="15" t="s">
        <v>469</v>
      </c>
      <c r="AU227" s="15" t="s">
        <v>493</v>
      </c>
      <c r="AV227" s="15" t="s">
        <v>469</v>
      </c>
      <c r="AW227" s="69">
        <v>0.0</v>
      </c>
      <c r="AX227" s="96" t="str">
        <f t="shared" si="131"/>
        <v>&lt; $10K</v>
      </c>
      <c r="AY227" s="69">
        <v>15415.0</v>
      </c>
      <c r="AZ227" s="69">
        <v>320080.0</v>
      </c>
      <c r="BA227" s="103" t="str">
        <f t="shared" si="132"/>
        <v>$100K - $500K</v>
      </c>
      <c r="BB227" s="103">
        <f t="shared" si="133"/>
        <v>0.04815983504</v>
      </c>
      <c r="BC227" s="103" t="str">
        <f t="shared" si="134"/>
        <v>&lt; 10%</v>
      </c>
      <c r="BD227" s="15" t="s">
        <v>91</v>
      </c>
      <c r="BF227" s="15" t="s">
        <v>493</v>
      </c>
      <c r="BG227" s="15">
        <v>1.0</v>
      </c>
      <c r="BH227" s="15">
        <v>2.0</v>
      </c>
      <c r="BI227" s="15" t="s">
        <v>469</v>
      </c>
      <c r="BJ227" s="15" t="s">
        <v>493</v>
      </c>
      <c r="BK227" s="15" t="s">
        <v>493</v>
      </c>
      <c r="BL227" s="15" t="s">
        <v>469</v>
      </c>
      <c r="BM227" s="15">
        <v>3.0</v>
      </c>
      <c r="BN227" s="15">
        <v>3.0</v>
      </c>
      <c r="BO227" s="15">
        <v>0.0</v>
      </c>
      <c r="BP227" s="15">
        <v>3.0</v>
      </c>
      <c r="BQ227" s="108"/>
      <c r="BR227" s="15">
        <v>0.0</v>
      </c>
      <c r="BS227" s="15">
        <v>0.0</v>
      </c>
      <c r="BT227" s="15">
        <v>0.0</v>
      </c>
      <c r="BU227" s="15">
        <v>29.0</v>
      </c>
      <c r="BV227" s="15" t="s">
        <v>493</v>
      </c>
      <c r="BW227" s="108"/>
      <c r="BX227" s="15">
        <v>0.0</v>
      </c>
      <c r="BY227" s="15">
        <v>0.0</v>
      </c>
      <c r="BZ227" s="15">
        <v>0.0</v>
      </c>
      <c r="CA227" s="15">
        <v>30.0</v>
      </c>
      <c r="CB227" s="15" t="s">
        <v>493</v>
      </c>
      <c r="CC227" s="108"/>
      <c r="CI227" s="108"/>
      <c r="CO227" s="108"/>
      <c r="CU227" s="108"/>
      <c r="DA227" s="108"/>
      <c r="DG227" s="108"/>
      <c r="DM227" s="108"/>
      <c r="DS227" s="108"/>
      <c r="DT227" s="108"/>
      <c r="DU227" s="108"/>
      <c r="DW227" s="109"/>
      <c r="DX227" s="110">
        <f t="shared" si="13"/>
        <v>0</v>
      </c>
      <c r="DY227" s="111">
        <f t="shared" ref="DY227:DZ227" si="513">sum(BS227,BY227,CE227,CK227,CQ227,CW227,DC227,DI227,DO227)</f>
        <v>0</v>
      </c>
      <c r="DZ227" s="111">
        <f t="shared" si="513"/>
        <v>0</v>
      </c>
      <c r="EA227" s="110">
        <f t="shared" si="15"/>
        <v>29.5</v>
      </c>
      <c r="EB227" s="99" t="str">
        <f t="shared" si="16"/>
        <v>20 - 34</v>
      </c>
      <c r="EC227" s="112"/>
      <c r="ED227" s="113">
        <f t="shared" si="17"/>
        <v>4.6</v>
      </c>
      <c r="EE227" s="114">
        <f>IF(V227 &lt;&gt; "", 1+((V227-MIN(discount_rates))*(4)/(MAX(discount_rates) - MIN(discount_rates))), "")</f>
        <v>1</v>
      </c>
      <c r="EF227" s="114" t="str">
        <f>IF(Q227="Debt", (1+((S227-MIN(interest_rates))*(4)/(MAX(interest_rates) - MIN(interest_rates)))), "")</f>
        <v/>
      </c>
      <c r="EG227" s="114" t="str">
        <f>IF(OR(Q227="Revenue Share", Q227="Profit Share"), (1+((R227-MIN(return_mutiples))*(4)/(MAX(return_mutiples) - MIN(return_mutiples)))), "")</f>
        <v/>
      </c>
      <c r="EH227" s="115">
        <f t="shared" si="18"/>
        <v>4.6</v>
      </c>
      <c r="EI227" s="116" t="str">
        <f t="shared" si="19"/>
        <v>SAFE</v>
      </c>
      <c r="EJ227" s="117">
        <f t="shared" si="20"/>
        <v>0.3561643836</v>
      </c>
      <c r="EK227" s="116" t="str">
        <f t="shared" si="21"/>
        <v>Early</v>
      </c>
      <c r="EL227" s="112"/>
      <c r="EM227" s="118">
        <f t="shared" si="22"/>
        <v>4.1</v>
      </c>
      <c r="EN227" s="118">
        <f t="shared" si="23"/>
        <v>2.3</v>
      </c>
      <c r="EO227" s="119">
        <f t="shared" si="24"/>
        <v>6.4</v>
      </c>
      <c r="EP227" s="115">
        <f>1+((EO227-MIN(market_ratings_sums))*(4)/(MAX(market_ratings_sums) - MIN(market_ratings_sums)))</f>
        <v>3.596491228</v>
      </c>
      <c r="EQ227" s="116" t="str">
        <f t="shared" si="25"/>
        <v>No</v>
      </c>
      <c r="ER227" s="112"/>
      <c r="ES227" s="123">
        <f>1+((DX227-MIN(industry_experiences))*(4)/(MAX(industry_experiences) - MIN(industry_experiences)))</f>
        <v>1</v>
      </c>
      <c r="ET227" s="123">
        <f>1+((DY227-MIN(previous_startups))*(4)/(MAX(previous_startups) - MIN(previous_startups)))</f>
        <v>1</v>
      </c>
      <c r="EU227" s="123">
        <f>1+((DZ227-MIN(exits))*(4)/(MAX(exits) - MIN(exits)))</f>
        <v>1</v>
      </c>
      <c r="EV227" s="119">
        <f t="shared" si="26"/>
        <v>3</v>
      </c>
      <c r="EW227" s="124">
        <f>1+((EV227-MIN(team_ratings_sums))*(4)/(MAX(team_ratings_sums) - MIN(team_ratings_sums)))</f>
        <v>1</v>
      </c>
      <c r="EX227" s="116" t="str">
        <f t="shared" si="27"/>
        <v>20 - 34</v>
      </c>
      <c r="EY227" s="125">
        <f t="shared" si="28"/>
        <v>0.2054794521</v>
      </c>
      <c r="EZ227" s="116">
        <f t="shared" si="29"/>
        <v>2</v>
      </c>
      <c r="FA227" s="125">
        <f t="shared" si="30"/>
        <v>0.4520547945</v>
      </c>
      <c r="FB227" s="116">
        <f t="shared" si="31"/>
        <v>3</v>
      </c>
      <c r="FC227" s="125">
        <f t="shared" si="32"/>
        <v>0.08219178082</v>
      </c>
      <c r="FD227" s="116" t="str">
        <f t="shared" si="33"/>
        <v>No</v>
      </c>
      <c r="FE227" s="125">
        <f t="shared" si="34"/>
        <v>0.7534246575</v>
      </c>
      <c r="FF227" s="116" t="str">
        <f t="shared" ref="FF227:FH227" si="514">BJ227</f>
        <v>Yes</v>
      </c>
      <c r="FG227" s="116" t="str">
        <f t="shared" si="514"/>
        <v>Yes</v>
      </c>
      <c r="FH227" s="116" t="str">
        <f t="shared" si="514"/>
        <v>No</v>
      </c>
      <c r="FI227" s="112"/>
      <c r="FJ227" s="116" t="str">
        <f t="shared" si="36"/>
        <v>Recurring</v>
      </c>
      <c r="FK227" s="125">
        <f t="shared" si="37"/>
        <v>0.397260274</v>
      </c>
      <c r="FL227" s="116" t="str">
        <f t="shared" si="38"/>
        <v>B2C</v>
      </c>
      <c r="FM227" s="125">
        <f t="shared" si="39"/>
        <v>0.397260274</v>
      </c>
      <c r="FN227" s="116" t="str">
        <f t="shared" si="40"/>
        <v>High</v>
      </c>
      <c r="FO227" s="125">
        <f t="shared" si="41"/>
        <v>0.5616438356</v>
      </c>
      <c r="FP227" s="116" t="str">
        <f t="shared" si="42"/>
        <v>Low</v>
      </c>
      <c r="FQ227" s="125">
        <f t="shared" si="43"/>
        <v>0.3561643836</v>
      </c>
      <c r="FR227" s="112"/>
      <c r="FS227" s="123">
        <f t="shared" si="44"/>
        <v>3</v>
      </c>
      <c r="FT227" s="123">
        <f t="shared" si="45"/>
        <v>1</v>
      </c>
      <c r="FU227" s="123">
        <f t="shared" si="46"/>
        <v>5</v>
      </c>
      <c r="FV227" s="123">
        <f t="shared" si="47"/>
        <v>3.7</v>
      </c>
      <c r="FW227" s="119">
        <f t="shared" si="48"/>
        <v>12.7</v>
      </c>
      <c r="FX227" s="115">
        <f>1+((FW227-MIN(performance_ratings_sums))*(4)/(MAX(performance_ratings_sums) - MIN(performance_ratings_sums)))</f>
        <v>3.242990654</v>
      </c>
      <c r="FY227" s="116" t="str">
        <f t="shared" si="49"/>
        <v>Pre-Revenue</v>
      </c>
      <c r="FZ227" s="126">
        <f t="shared" si="50"/>
        <v>0.2054794521</v>
      </c>
      <c r="GA227" s="112"/>
      <c r="GB227" s="127">
        <f t="shared" si="51"/>
        <v>3</v>
      </c>
      <c r="GC227" s="116" t="str">
        <f t="shared" si="52"/>
        <v>No</v>
      </c>
      <c r="GD227" s="126">
        <f t="shared" si="53"/>
        <v>0.7671232877</v>
      </c>
      <c r="GE227" s="126" t="str">
        <f t="shared" si="54"/>
        <v/>
      </c>
      <c r="GF227" s="126">
        <f t="shared" si="55"/>
        <v>0</v>
      </c>
      <c r="GG227" s="126" t="str">
        <f t="shared" si="56"/>
        <v/>
      </c>
      <c r="GH227" s="126">
        <f t="shared" si="57"/>
        <v>0</v>
      </c>
      <c r="GI227" s="112"/>
      <c r="GJ227" s="116"/>
      <c r="GK227" s="119">
        <f t="shared" si="58"/>
        <v>15.43948188</v>
      </c>
      <c r="GL227" s="128">
        <f>1+((GK227-MIN(ratings_sums))*(4)/(MAX(ratings_sums) - MIN(ratings_sums)))</f>
        <v>3.530046319</v>
      </c>
    </row>
    <row r="228" ht="15.75" customHeight="1">
      <c r="A228" s="161" t="s">
        <v>1128</v>
      </c>
      <c r="B228" s="15">
        <v>1794073.0</v>
      </c>
      <c r="C228" s="162" t="s">
        <v>1504</v>
      </c>
      <c r="D228" s="209">
        <v>43853.37222222222</v>
      </c>
      <c r="E228" s="15" t="s">
        <v>392</v>
      </c>
      <c r="F228" s="164" t="s">
        <v>1505</v>
      </c>
      <c r="G228" s="164" t="s">
        <v>1506</v>
      </c>
      <c r="H228" s="210">
        <v>43846.0</v>
      </c>
      <c r="I228" s="162" t="s">
        <v>1507</v>
      </c>
      <c r="J228" s="162" t="s">
        <v>1504</v>
      </c>
      <c r="K228" s="15" t="s">
        <v>529</v>
      </c>
      <c r="L228" s="15" t="s">
        <v>390</v>
      </c>
      <c r="M228" s="15" t="s">
        <v>81</v>
      </c>
      <c r="N228" s="15" t="s">
        <v>101</v>
      </c>
      <c r="O228" s="15" t="s">
        <v>35</v>
      </c>
      <c r="Q228" s="15" t="s">
        <v>135</v>
      </c>
      <c r="R228" s="166"/>
      <c r="S228" s="120"/>
      <c r="T228" s="69">
        <v>1.105E7</v>
      </c>
      <c r="U228" s="69"/>
      <c r="V228" s="132"/>
      <c r="W228" s="96" t="str">
        <f t="shared" si="125"/>
        <v/>
      </c>
      <c r="X228" s="98">
        <f t="shared" si="126"/>
        <v>11050000</v>
      </c>
      <c r="Y228" s="99" t="str">
        <f t="shared" si="127"/>
        <v>$10M - $12M</v>
      </c>
      <c r="Z228" s="15" t="s">
        <v>36</v>
      </c>
      <c r="AA228" s="15" t="s">
        <v>123</v>
      </c>
      <c r="AB228" s="15" t="s">
        <v>38</v>
      </c>
      <c r="AC228" s="15" t="s">
        <v>493</v>
      </c>
      <c r="AD228" s="15" t="s">
        <v>89</v>
      </c>
      <c r="AE228" s="15" t="s">
        <v>89</v>
      </c>
      <c r="AF228" s="15" t="s">
        <v>469</v>
      </c>
      <c r="AG228" s="69">
        <v>1.142E11</v>
      </c>
      <c r="AH228" s="97" t="str">
        <f t="shared" si="128"/>
        <v>$100B-$250B</v>
      </c>
      <c r="AI228" s="69">
        <v>2.76E10</v>
      </c>
      <c r="AJ228" s="97" t="str">
        <f t="shared" si="129"/>
        <v>$25B-$50B</v>
      </c>
      <c r="AK228" s="167">
        <v>0.04</v>
      </c>
      <c r="AL228" s="88" t="str">
        <f t="shared" si="130"/>
        <v>0%-10%</v>
      </c>
      <c r="AM228" s="32">
        <v>7450.0</v>
      </c>
      <c r="AN228" s="15" t="s">
        <v>89</v>
      </c>
      <c r="AO228" s="15" t="s">
        <v>89</v>
      </c>
      <c r="AP228" s="15" t="s">
        <v>40</v>
      </c>
      <c r="AQ228" s="168"/>
      <c r="AR228" s="168"/>
      <c r="AS228" s="15" t="s">
        <v>469</v>
      </c>
      <c r="AT228" s="15" t="s">
        <v>469</v>
      </c>
      <c r="AU228" s="15" t="s">
        <v>493</v>
      </c>
      <c r="AV228" s="15" t="s">
        <v>493</v>
      </c>
      <c r="AW228" s="69">
        <v>2904698.0</v>
      </c>
      <c r="AX228" s="96" t="str">
        <f t="shared" si="131"/>
        <v>$2M - $3M</v>
      </c>
      <c r="AY228" s="69">
        <v>19202.0</v>
      </c>
      <c r="AZ228" s="69">
        <v>925000.0</v>
      </c>
      <c r="BA228" s="103" t="str">
        <f t="shared" si="132"/>
        <v>$500K - $1M</v>
      </c>
      <c r="BB228" s="103">
        <f t="shared" si="133"/>
        <v>0.02075891892</v>
      </c>
      <c r="BC228" s="103" t="str">
        <f t="shared" si="134"/>
        <v>&lt; 10%</v>
      </c>
      <c r="BD228" s="15" t="s">
        <v>107</v>
      </c>
      <c r="BF228" s="15" t="s">
        <v>469</v>
      </c>
      <c r="BG228" s="15">
        <v>0.0</v>
      </c>
      <c r="BH228" s="15">
        <v>1.0</v>
      </c>
      <c r="BI228" s="15" t="s">
        <v>493</v>
      </c>
      <c r="BJ228" s="15" t="s">
        <v>469</v>
      </c>
      <c r="BK228" s="15" t="s">
        <v>469</v>
      </c>
      <c r="BL228" s="15" t="s">
        <v>469</v>
      </c>
      <c r="BM228" s="15">
        <v>1.0</v>
      </c>
      <c r="BN228" s="15">
        <v>50.0</v>
      </c>
      <c r="BO228" s="15">
        <v>0.0</v>
      </c>
      <c r="BP228" s="15">
        <v>0.0</v>
      </c>
      <c r="BQ228" s="108"/>
      <c r="BR228" s="15">
        <v>11.0</v>
      </c>
      <c r="BS228" s="15">
        <v>0.0</v>
      </c>
      <c r="BT228" s="15">
        <v>0.0</v>
      </c>
      <c r="BU228" s="15">
        <v>37.0</v>
      </c>
      <c r="BV228" s="15" t="s">
        <v>493</v>
      </c>
      <c r="BW228" s="108"/>
      <c r="CC228" s="108"/>
      <c r="CI228" s="108"/>
      <c r="CO228" s="108"/>
      <c r="CU228" s="108"/>
      <c r="DA228" s="108"/>
      <c r="DG228" s="108"/>
      <c r="DM228" s="108"/>
      <c r="DS228" s="108"/>
      <c r="DT228" s="108"/>
      <c r="DU228" s="108"/>
      <c r="DW228" s="109"/>
      <c r="DX228" s="110">
        <f t="shared" si="13"/>
        <v>11</v>
      </c>
      <c r="DY228" s="111">
        <f t="shared" ref="DY228:DZ228" si="515">sum(BS228,BY228,CE228,CK228,CQ228,CW228,DC228,DI228,DO228)</f>
        <v>0</v>
      </c>
      <c r="DZ228" s="111">
        <f t="shared" si="515"/>
        <v>0</v>
      </c>
      <c r="EA228" s="110">
        <f t="shared" si="15"/>
        <v>37</v>
      </c>
      <c r="EB228" s="99" t="str">
        <f t="shared" si="16"/>
        <v>35 - 54</v>
      </c>
      <c r="EC228" s="112"/>
      <c r="ED228" s="113">
        <f t="shared" si="17"/>
        <v>3.9</v>
      </c>
      <c r="EE228" s="114" t="str">
        <f>IF(V228 &lt;&gt; "", 1+((V228-MIN(discount_rates))*(4)/(MAX(discount_rates) - MIN(discount_rates))), "")</f>
        <v/>
      </c>
      <c r="EF228" s="114" t="str">
        <f>IF(Q228="Debt", (1+((S228-MIN(interest_rates))*(4)/(MAX(interest_rates) - MIN(interest_rates)))), "")</f>
        <v/>
      </c>
      <c r="EG228" s="114" t="str">
        <f>IF(OR(Q228="Revenue Share", Q228="Profit Share"), (1+((R228-MIN(return_mutiples))*(4)/(MAX(return_mutiples) - MIN(return_mutiples)))), "")</f>
        <v/>
      </c>
      <c r="EH228" s="115">
        <f t="shared" si="18"/>
        <v>3.9</v>
      </c>
      <c r="EI228" s="116" t="str">
        <f t="shared" si="19"/>
        <v>Equity - Preferred</v>
      </c>
      <c r="EJ228" s="117">
        <f t="shared" si="20"/>
        <v>0.06849315068</v>
      </c>
      <c r="EK228" s="116" t="str">
        <f t="shared" si="21"/>
        <v>Growth</v>
      </c>
      <c r="EL228" s="112"/>
      <c r="EM228" s="118">
        <f t="shared" si="22"/>
        <v>3.6</v>
      </c>
      <c r="EN228" s="118">
        <f t="shared" si="23"/>
        <v>1.7</v>
      </c>
      <c r="EO228" s="119">
        <f t="shared" si="24"/>
        <v>5.3</v>
      </c>
      <c r="EP228" s="115">
        <f>1+((EO228-MIN(market_ratings_sums))*(4)/(MAX(market_ratings_sums) - MIN(market_ratings_sums)))</f>
        <v>2.824561404</v>
      </c>
      <c r="EQ228" s="116" t="str">
        <f t="shared" si="25"/>
        <v>No</v>
      </c>
      <c r="ER228" s="112"/>
      <c r="ES228" s="123">
        <f>1+((DX228-MIN(industry_experiences))*(4)/(MAX(industry_experiences) - MIN(industry_experiences)))</f>
        <v>2.047619048</v>
      </c>
      <c r="ET228" s="123">
        <f>1+((DY228-MIN(previous_startups))*(4)/(MAX(previous_startups) - MIN(previous_startups)))</f>
        <v>1</v>
      </c>
      <c r="EU228" s="123">
        <f>1+((DZ228-MIN(exits))*(4)/(MAX(exits) - MIN(exits)))</f>
        <v>1</v>
      </c>
      <c r="EV228" s="119">
        <f t="shared" si="26"/>
        <v>4.047619048</v>
      </c>
      <c r="EW228" s="124">
        <f>1+((EV228-MIN(team_ratings_sums))*(4)/(MAX(team_ratings_sums) - MIN(team_ratings_sums)))</f>
        <v>1.573913043</v>
      </c>
      <c r="EX228" s="116" t="str">
        <f t="shared" si="27"/>
        <v>35 - 54</v>
      </c>
      <c r="EY228" s="125">
        <f t="shared" si="28"/>
        <v>0.6849315068</v>
      </c>
      <c r="EZ228" s="116">
        <f t="shared" si="29"/>
        <v>1</v>
      </c>
      <c r="FA228" s="125">
        <f t="shared" si="30"/>
        <v>0.4383561644</v>
      </c>
      <c r="FB228" s="116">
        <f t="shared" si="31"/>
        <v>50</v>
      </c>
      <c r="FC228" s="125">
        <f t="shared" si="32"/>
        <v>0</v>
      </c>
      <c r="FD228" s="116" t="str">
        <f t="shared" si="33"/>
        <v>Yes</v>
      </c>
      <c r="FE228" s="125">
        <f t="shared" si="34"/>
        <v>0.2465753425</v>
      </c>
      <c r="FF228" s="116" t="str">
        <f t="shared" ref="FF228:FH228" si="516">BJ228</f>
        <v>No</v>
      </c>
      <c r="FG228" s="116" t="str">
        <f t="shared" si="516"/>
        <v>No</v>
      </c>
      <c r="FH228" s="116" t="str">
        <f t="shared" si="516"/>
        <v>No</v>
      </c>
      <c r="FI228" s="112"/>
      <c r="FJ228" s="116" t="str">
        <f t="shared" si="36"/>
        <v>Transactional</v>
      </c>
      <c r="FK228" s="125">
        <f t="shared" si="37"/>
        <v>0.602739726</v>
      </c>
      <c r="FL228" s="116" t="str">
        <f t="shared" si="38"/>
        <v>B2B/B2C</v>
      </c>
      <c r="FM228" s="125">
        <f t="shared" si="39"/>
        <v>0.3287671233</v>
      </c>
      <c r="FN228" s="116" t="str">
        <f t="shared" si="40"/>
        <v>Low</v>
      </c>
      <c r="FO228" s="125">
        <f t="shared" si="41"/>
        <v>0.4383561644</v>
      </c>
      <c r="FP228" s="116" t="str">
        <f t="shared" si="42"/>
        <v>Low</v>
      </c>
      <c r="FQ228" s="125">
        <f t="shared" si="43"/>
        <v>0.3561643836</v>
      </c>
      <c r="FR228" s="112"/>
      <c r="FS228" s="123">
        <f t="shared" si="44"/>
        <v>5</v>
      </c>
      <c r="FT228" s="123">
        <f t="shared" si="45"/>
        <v>3.7</v>
      </c>
      <c r="FU228" s="123">
        <f t="shared" si="46"/>
        <v>5</v>
      </c>
      <c r="FV228" s="123">
        <f t="shared" si="47"/>
        <v>3.2</v>
      </c>
      <c r="FW228" s="119">
        <f t="shared" si="48"/>
        <v>16.9</v>
      </c>
      <c r="FX228" s="115">
        <f>1+((FW228-MIN(performance_ratings_sums))*(4)/(MAX(performance_ratings_sums) - MIN(performance_ratings_sums)))</f>
        <v>4.813084112</v>
      </c>
      <c r="FY228" s="116" t="str">
        <f t="shared" si="49"/>
        <v>Pre-Profit</v>
      </c>
      <c r="FZ228" s="126">
        <f t="shared" si="50"/>
        <v>0.4931506849</v>
      </c>
      <c r="GA228" s="112"/>
      <c r="GB228" s="127">
        <f t="shared" si="51"/>
        <v>1</v>
      </c>
      <c r="GC228" s="116" t="str">
        <f t="shared" si="52"/>
        <v>No</v>
      </c>
      <c r="GD228" s="126">
        <f t="shared" si="53"/>
        <v>0.7671232877</v>
      </c>
      <c r="GE228" s="126" t="str">
        <f t="shared" si="54"/>
        <v/>
      </c>
      <c r="GF228" s="126">
        <f t="shared" si="55"/>
        <v>0</v>
      </c>
      <c r="GG228" s="126" t="str">
        <f t="shared" si="56"/>
        <v/>
      </c>
      <c r="GH228" s="126">
        <f t="shared" si="57"/>
        <v>0</v>
      </c>
      <c r="GI228" s="112"/>
      <c r="GJ228" s="116"/>
      <c r="GK228" s="119">
        <f t="shared" si="58"/>
        <v>14.11155856</v>
      </c>
      <c r="GL228" s="128">
        <f>1+((GK228-MIN(ratings_sums))*(4)/(MAX(ratings_sums) - MIN(ratings_sums)))</f>
        <v>3.12258637</v>
      </c>
    </row>
    <row r="229" ht="15.75" customHeight="1">
      <c r="A229" s="161" t="s">
        <v>1128</v>
      </c>
      <c r="B229" s="15">
        <v>1795240.0</v>
      </c>
      <c r="C229" s="162" t="s">
        <v>1508</v>
      </c>
      <c r="D229" s="209">
        <v>43853.38125</v>
      </c>
      <c r="E229" s="15" t="s">
        <v>392</v>
      </c>
      <c r="F229" s="164" t="s">
        <v>1509</v>
      </c>
      <c r="G229" s="164" t="s">
        <v>1510</v>
      </c>
      <c r="H229" s="210">
        <v>43844.0</v>
      </c>
      <c r="I229" s="162" t="s">
        <v>1511</v>
      </c>
      <c r="J229" s="162" t="s">
        <v>1512</v>
      </c>
      <c r="K229" s="15" t="s">
        <v>436</v>
      </c>
      <c r="L229" s="15" t="s">
        <v>390</v>
      </c>
      <c r="M229" s="15" t="s">
        <v>31</v>
      </c>
      <c r="N229" s="15" t="s">
        <v>82</v>
      </c>
      <c r="O229" s="15" t="s">
        <v>35</v>
      </c>
      <c r="Q229" s="15" t="s">
        <v>121</v>
      </c>
      <c r="R229" s="166"/>
      <c r="S229" s="120"/>
      <c r="T229" s="69">
        <v>5000000.0</v>
      </c>
      <c r="U229" s="69"/>
      <c r="V229" s="132"/>
      <c r="W229" s="96" t="str">
        <f t="shared" si="125"/>
        <v/>
      </c>
      <c r="X229" s="98">
        <f t="shared" si="126"/>
        <v>5000000</v>
      </c>
      <c r="Y229" s="99" t="str">
        <f t="shared" si="127"/>
        <v>$4M - $6M</v>
      </c>
      <c r="Z229" s="15" t="s">
        <v>36</v>
      </c>
      <c r="AA229" s="15" t="s">
        <v>123</v>
      </c>
      <c r="AB229" s="15" t="s">
        <v>38</v>
      </c>
      <c r="AC229" s="15" t="s">
        <v>493</v>
      </c>
      <c r="AD229" s="15" t="s">
        <v>89</v>
      </c>
      <c r="AE229" s="15" t="s">
        <v>89</v>
      </c>
      <c r="AF229" s="15" t="s">
        <v>469</v>
      </c>
      <c r="AG229" s="69">
        <v>5.0E9</v>
      </c>
      <c r="AH229" s="97" t="str">
        <f t="shared" si="128"/>
        <v>$5B-$10B</v>
      </c>
      <c r="AI229" s="69">
        <v>1.0E9</v>
      </c>
      <c r="AJ229" s="97" t="str">
        <f t="shared" si="129"/>
        <v>$1B-$5B</v>
      </c>
      <c r="AK229" s="167">
        <v>0.06</v>
      </c>
      <c r="AL229" s="88" t="str">
        <f t="shared" si="130"/>
        <v>0%-10%</v>
      </c>
      <c r="AM229" s="15">
        <v>2.0</v>
      </c>
      <c r="AN229" s="15" t="s">
        <v>89</v>
      </c>
      <c r="AO229" s="15" t="s">
        <v>39</v>
      </c>
      <c r="AP229" s="15" t="s">
        <v>90</v>
      </c>
      <c r="AQ229" s="168"/>
      <c r="AR229" s="168"/>
      <c r="AS229" s="15" t="s">
        <v>469</v>
      </c>
      <c r="AT229" s="15" t="s">
        <v>469</v>
      </c>
      <c r="AU229" s="15" t="s">
        <v>493</v>
      </c>
      <c r="AV229" s="15" t="s">
        <v>493</v>
      </c>
      <c r="AW229" s="69">
        <v>13080.0</v>
      </c>
      <c r="AX229" s="96" t="str">
        <f t="shared" si="131"/>
        <v>$10K - $50K</v>
      </c>
      <c r="AY229" s="69">
        <v>3019.0</v>
      </c>
      <c r="AZ229" s="69">
        <v>99933.0</v>
      </c>
      <c r="BA229" s="103" t="str">
        <f t="shared" si="132"/>
        <v>$50K - $100K</v>
      </c>
      <c r="BB229" s="103">
        <f t="shared" si="133"/>
        <v>0.03021024086</v>
      </c>
      <c r="BC229" s="103" t="str">
        <f t="shared" si="134"/>
        <v>&lt; 10%</v>
      </c>
      <c r="BD229" s="15" t="s">
        <v>107</v>
      </c>
      <c r="BF229" s="15" t="s">
        <v>469</v>
      </c>
      <c r="BG229" s="15">
        <v>0.0</v>
      </c>
      <c r="BH229" s="15">
        <v>1.0</v>
      </c>
      <c r="BI229" s="15" t="s">
        <v>493</v>
      </c>
      <c r="BJ229" s="15" t="s">
        <v>469</v>
      </c>
      <c r="BK229" s="15" t="s">
        <v>493</v>
      </c>
      <c r="BL229" s="15" t="s">
        <v>469</v>
      </c>
      <c r="BM229" s="15">
        <v>0.0</v>
      </c>
      <c r="BN229" s="15">
        <v>1.0</v>
      </c>
      <c r="BO229" s="15">
        <v>1.0</v>
      </c>
      <c r="BP229" s="15">
        <v>0.0</v>
      </c>
      <c r="BQ229" s="108"/>
      <c r="BR229" s="15">
        <v>6.0</v>
      </c>
      <c r="BS229" s="15">
        <v>2.0</v>
      </c>
      <c r="BT229" s="15">
        <v>0.0</v>
      </c>
      <c r="BU229" s="15">
        <v>46.0</v>
      </c>
      <c r="BV229" s="15" t="s">
        <v>469</v>
      </c>
      <c r="BW229" s="108"/>
      <c r="CC229" s="108"/>
      <c r="CI229" s="108"/>
      <c r="CO229" s="108"/>
      <c r="CU229" s="108"/>
      <c r="DA229" s="108"/>
      <c r="DG229" s="108"/>
      <c r="DM229" s="108"/>
      <c r="DS229" s="108"/>
      <c r="DT229" s="108"/>
      <c r="DU229" s="108"/>
      <c r="DW229" s="109"/>
      <c r="DX229" s="110">
        <f t="shared" si="13"/>
        <v>6</v>
      </c>
      <c r="DY229" s="111">
        <f t="shared" ref="DY229:DZ229" si="517">sum(BS229,BY229,CE229,CK229,CQ229,CW229,DC229,DI229,DO229)</f>
        <v>2</v>
      </c>
      <c r="DZ229" s="111">
        <f t="shared" si="517"/>
        <v>0</v>
      </c>
      <c r="EA229" s="110">
        <f t="shared" si="15"/>
        <v>46</v>
      </c>
      <c r="EB229" s="99" t="str">
        <f t="shared" si="16"/>
        <v>35 - 54</v>
      </c>
      <c r="EC229" s="112"/>
      <c r="ED229" s="113">
        <f t="shared" si="17"/>
        <v>4.4</v>
      </c>
      <c r="EE229" s="114" t="str">
        <f>IF(V229 &lt;&gt; "", 1+((V229-MIN(discount_rates))*(4)/(MAX(discount_rates) - MIN(discount_rates))), "")</f>
        <v/>
      </c>
      <c r="EF229" s="114" t="str">
        <f>IF(Q229="Debt", (1+((S229-MIN(interest_rates))*(4)/(MAX(interest_rates) - MIN(interest_rates)))), "")</f>
        <v/>
      </c>
      <c r="EG229" s="114" t="str">
        <f>IF(OR(Q229="Revenue Share", Q229="Profit Share"), (1+((R229-MIN(return_mutiples))*(4)/(MAX(return_mutiples) - MIN(return_mutiples)))), "")</f>
        <v/>
      </c>
      <c r="EH229" s="115">
        <f t="shared" si="18"/>
        <v>4.4</v>
      </c>
      <c r="EI229" s="116" t="str">
        <f t="shared" si="19"/>
        <v>Equity - Common</v>
      </c>
      <c r="EJ229" s="117">
        <f t="shared" si="20"/>
        <v>0.3287671233</v>
      </c>
      <c r="EK229" s="116" t="str">
        <f t="shared" si="21"/>
        <v>Early</v>
      </c>
      <c r="EL229" s="112"/>
      <c r="EM229" s="118">
        <f t="shared" si="22"/>
        <v>2.7</v>
      </c>
      <c r="EN229" s="118">
        <f t="shared" si="23"/>
        <v>1.7</v>
      </c>
      <c r="EO229" s="119">
        <f t="shared" si="24"/>
        <v>4.4</v>
      </c>
      <c r="EP229" s="115">
        <f>1+((EO229-MIN(market_ratings_sums))*(4)/(MAX(market_ratings_sums) - MIN(market_ratings_sums)))</f>
        <v>2.192982456</v>
      </c>
      <c r="EQ229" s="116" t="str">
        <f t="shared" si="25"/>
        <v>No</v>
      </c>
      <c r="ER229" s="112"/>
      <c r="ES229" s="123">
        <f>1+((DX229-MIN(industry_experiences))*(4)/(MAX(industry_experiences) - MIN(industry_experiences)))</f>
        <v>1.571428571</v>
      </c>
      <c r="ET229" s="123">
        <f>1+((DY229-MIN(previous_startups))*(4)/(MAX(previous_startups) - MIN(previous_startups)))</f>
        <v>1.888888889</v>
      </c>
      <c r="EU229" s="123">
        <f>1+((DZ229-MIN(exits))*(4)/(MAX(exits) - MIN(exits)))</f>
        <v>1</v>
      </c>
      <c r="EV229" s="119">
        <f t="shared" si="26"/>
        <v>4.46031746</v>
      </c>
      <c r="EW229" s="124">
        <f>1+((EV229-MIN(team_ratings_sums))*(4)/(MAX(team_ratings_sums) - MIN(team_ratings_sums)))</f>
        <v>1.8</v>
      </c>
      <c r="EX229" s="116" t="str">
        <f t="shared" si="27"/>
        <v>35 - 54</v>
      </c>
      <c r="EY229" s="125">
        <f t="shared" si="28"/>
        <v>0.6849315068</v>
      </c>
      <c r="EZ229" s="116">
        <f t="shared" si="29"/>
        <v>1</v>
      </c>
      <c r="FA229" s="125">
        <f t="shared" si="30"/>
        <v>0.4383561644</v>
      </c>
      <c r="FB229" s="116">
        <f t="shared" si="31"/>
        <v>1</v>
      </c>
      <c r="FC229" s="125">
        <f t="shared" si="32"/>
        <v>0.08219178082</v>
      </c>
      <c r="FD229" s="116" t="str">
        <f t="shared" si="33"/>
        <v>Yes</v>
      </c>
      <c r="FE229" s="125">
        <f t="shared" si="34"/>
        <v>0.2465753425</v>
      </c>
      <c r="FF229" s="116" t="str">
        <f t="shared" ref="FF229:FH229" si="518">BJ229</f>
        <v>No</v>
      </c>
      <c r="FG229" s="116" t="str">
        <f t="shared" si="518"/>
        <v>Yes</v>
      </c>
      <c r="FH229" s="116" t="str">
        <f t="shared" si="518"/>
        <v>No</v>
      </c>
      <c r="FI229" s="112"/>
      <c r="FJ229" s="116" t="str">
        <f t="shared" si="36"/>
        <v>Transactional</v>
      </c>
      <c r="FK229" s="125">
        <f t="shared" si="37"/>
        <v>0.602739726</v>
      </c>
      <c r="FL229" s="116" t="str">
        <f t="shared" si="38"/>
        <v>B2B/B2C</v>
      </c>
      <c r="FM229" s="125">
        <f t="shared" si="39"/>
        <v>0.3287671233</v>
      </c>
      <c r="FN229" s="116" t="str">
        <f t="shared" si="40"/>
        <v>Low</v>
      </c>
      <c r="FO229" s="125">
        <f t="shared" si="41"/>
        <v>0.4383561644</v>
      </c>
      <c r="FP229" s="116" t="str">
        <f t="shared" si="42"/>
        <v>Low</v>
      </c>
      <c r="FQ229" s="125">
        <f t="shared" si="43"/>
        <v>0.3561643836</v>
      </c>
      <c r="FR229" s="112"/>
      <c r="FS229" s="123">
        <f t="shared" si="44"/>
        <v>5</v>
      </c>
      <c r="FT229" s="123">
        <f t="shared" si="45"/>
        <v>1.4</v>
      </c>
      <c r="FU229" s="123">
        <f t="shared" si="46"/>
        <v>5</v>
      </c>
      <c r="FV229" s="123">
        <f t="shared" si="47"/>
        <v>4.1</v>
      </c>
      <c r="FW229" s="119">
        <f t="shared" si="48"/>
        <v>15.5</v>
      </c>
      <c r="FX229" s="115">
        <f>1+((FW229-MIN(performance_ratings_sums))*(4)/(MAX(performance_ratings_sums) - MIN(performance_ratings_sums)))</f>
        <v>4.289719626</v>
      </c>
      <c r="FY229" s="116" t="str">
        <f t="shared" si="49"/>
        <v>Pre-Profit</v>
      </c>
      <c r="FZ229" s="126">
        <f t="shared" si="50"/>
        <v>0.4931506849</v>
      </c>
      <c r="GA229" s="112"/>
      <c r="GB229" s="127">
        <f t="shared" si="51"/>
        <v>3</v>
      </c>
      <c r="GC229" s="116" t="str">
        <f t="shared" si="52"/>
        <v>No</v>
      </c>
      <c r="GD229" s="126">
        <f t="shared" si="53"/>
        <v>0.7671232877</v>
      </c>
      <c r="GE229" s="126" t="str">
        <f t="shared" si="54"/>
        <v/>
      </c>
      <c r="GF229" s="126">
        <f t="shared" si="55"/>
        <v>0</v>
      </c>
      <c r="GG229" s="126" t="str">
        <f t="shared" si="56"/>
        <v/>
      </c>
      <c r="GH229" s="126">
        <f t="shared" si="57"/>
        <v>0</v>
      </c>
      <c r="GI229" s="112"/>
      <c r="GJ229" s="116"/>
      <c r="GK229" s="119">
        <f t="shared" si="58"/>
        <v>15.68270208</v>
      </c>
      <c r="GL229" s="128">
        <f>1+((GK229-MIN(ratings_sums))*(4)/(MAX(ratings_sums) - MIN(ratings_sums)))</f>
        <v>3.604675997</v>
      </c>
    </row>
    <row r="230" ht="15.75" customHeight="1">
      <c r="A230" s="161" t="s">
        <v>1128</v>
      </c>
      <c r="B230" s="15">
        <v>1763323.0</v>
      </c>
      <c r="C230" s="162" t="s">
        <v>1513</v>
      </c>
      <c r="D230" s="209">
        <v>43853.38611111111</v>
      </c>
      <c r="E230" s="15" t="s">
        <v>363</v>
      </c>
      <c r="F230" s="164" t="s">
        <v>1514</v>
      </c>
      <c r="G230" s="164" t="s">
        <v>1515</v>
      </c>
      <c r="H230" s="210">
        <v>43852.0</v>
      </c>
      <c r="I230" s="162" t="s">
        <v>1516</v>
      </c>
      <c r="J230" s="162" t="s">
        <v>1513</v>
      </c>
      <c r="K230" s="15" t="s">
        <v>457</v>
      </c>
      <c r="L230" s="15" t="s">
        <v>390</v>
      </c>
      <c r="M230" s="15" t="s">
        <v>31</v>
      </c>
      <c r="N230" s="15" t="s">
        <v>82</v>
      </c>
      <c r="O230" s="15" t="s">
        <v>35</v>
      </c>
      <c r="Q230" s="15" t="s">
        <v>34</v>
      </c>
      <c r="R230" s="166"/>
      <c r="S230" s="120"/>
      <c r="T230" s="69"/>
      <c r="U230" s="69">
        <v>3977777.0</v>
      </c>
      <c r="V230" s="132">
        <v>0.0</v>
      </c>
      <c r="W230" s="96">
        <f t="shared" si="125"/>
        <v>3977777</v>
      </c>
      <c r="X230" s="98">
        <f t="shared" si="126"/>
        <v>3977777</v>
      </c>
      <c r="Y230" s="99" t="str">
        <f t="shared" si="127"/>
        <v>$2M - $4M</v>
      </c>
      <c r="Z230" s="15" t="s">
        <v>36</v>
      </c>
      <c r="AA230" s="15" t="s">
        <v>123</v>
      </c>
      <c r="AB230" s="15" t="s">
        <v>38</v>
      </c>
      <c r="AC230" s="15" t="s">
        <v>493</v>
      </c>
      <c r="AD230" s="15" t="s">
        <v>39</v>
      </c>
      <c r="AE230" s="15" t="s">
        <v>89</v>
      </c>
      <c r="AF230" s="15" t="s">
        <v>469</v>
      </c>
      <c r="AG230" s="69">
        <v>4.954E10</v>
      </c>
      <c r="AH230" s="97" t="str">
        <f t="shared" si="128"/>
        <v>$25B-$50B</v>
      </c>
      <c r="AI230" s="69">
        <v>1.519E10</v>
      </c>
      <c r="AJ230" s="97" t="str">
        <f t="shared" si="129"/>
        <v>$10B-$25B</v>
      </c>
      <c r="AK230" s="167">
        <v>0.06</v>
      </c>
      <c r="AL230" s="88" t="str">
        <f t="shared" si="130"/>
        <v>0%-10%</v>
      </c>
      <c r="AM230" s="15">
        <v>204.0</v>
      </c>
      <c r="AN230" s="15" t="s">
        <v>89</v>
      </c>
      <c r="AO230" s="15" t="s">
        <v>89</v>
      </c>
      <c r="AP230" s="15" t="s">
        <v>40</v>
      </c>
      <c r="AQ230" s="168"/>
      <c r="AR230" s="168"/>
      <c r="AS230" s="15" t="s">
        <v>469</v>
      </c>
      <c r="AT230" s="15" t="s">
        <v>493</v>
      </c>
      <c r="AU230" s="15" t="s">
        <v>493</v>
      </c>
      <c r="AV230" s="15" t="s">
        <v>493</v>
      </c>
      <c r="AW230" s="69">
        <v>19793.0</v>
      </c>
      <c r="AX230" s="96" t="str">
        <f t="shared" si="131"/>
        <v>$10K - $50K</v>
      </c>
      <c r="AY230" s="69">
        <v>19211.0</v>
      </c>
      <c r="AZ230" s="69">
        <v>106803.0</v>
      </c>
      <c r="BA230" s="103" t="str">
        <f t="shared" si="132"/>
        <v>$100K - $500K</v>
      </c>
      <c r="BB230" s="103">
        <f t="shared" si="133"/>
        <v>0.1798732245</v>
      </c>
      <c r="BC230" s="103" t="str">
        <f t="shared" si="134"/>
        <v>10% - 20%</v>
      </c>
      <c r="BD230" s="15" t="s">
        <v>107</v>
      </c>
      <c r="BF230" s="15" t="s">
        <v>469</v>
      </c>
      <c r="BG230" s="15">
        <v>0.0</v>
      </c>
      <c r="BH230" s="15">
        <v>1.0</v>
      </c>
      <c r="BI230" s="15" t="s">
        <v>493</v>
      </c>
      <c r="BJ230" s="15" t="s">
        <v>469</v>
      </c>
      <c r="BK230" s="15" t="s">
        <v>469</v>
      </c>
      <c r="BL230" s="15" t="s">
        <v>469</v>
      </c>
      <c r="BM230" s="15">
        <v>1.0</v>
      </c>
      <c r="BN230" s="15">
        <v>3.0</v>
      </c>
      <c r="BO230" s="15">
        <v>0.0</v>
      </c>
      <c r="BP230" s="15">
        <v>0.0</v>
      </c>
      <c r="BQ230" s="108"/>
      <c r="BR230" s="15">
        <v>7.0</v>
      </c>
      <c r="BS230" s="15">
        <v>0.0</v>
      </c>
      <c r="BT230" s="15">
        <v>0.0</v>
      </c>
      <c r="BU230" s="15">
        <v>42.0</v>
      </c>
      <c r="BV230" s="15" t="s">
        <v>469</v>
      </c>
      <c r="BW230" s="108"/>
      <c r="CC230" s="108"/>
      <c r="CI230" s="108"/>
      <c r="CO230" s="108"/>
      <c r="CU230" s="108"/>
      <c r="DA230" s="108"/>
      <c r="DG230" s="108"/>
      <c r="DM230" s="108"/>
      <c r="DS230" s="108"/>
      <c r="DT230" s="108"/>
      <c r="DU230" s="108"/>
      <c r="DW230" s="109"/>
      <c r="DX230" s="110">
        <f t="shared" si="13"/>
        <v>7</v>
      </c>
      <c r="DY230" s="111">
        <f t="shared" ref="DY230:DZ230" si="519">sum(BS230,BY230,CE230,CK230,CQ230,CW230,DC230,DI230,DO230)</f>
        <v>0</v>
      </c>
      <c r="DZ230" s="111">
        <f t="shared" si="519"/>
        <v>0</v>
      </c>
      <c r="EA230" s="110">
        <f t="shared" si="15"/>
        <v>42</v>
      </c>
      <c r="EB230" s="99" t="str">
        <f t="shared" si="16"/>
        <v>35 - 54</v>
      </c>
      <c r="EC230" s="112"/>
      <c r="ED230" s="113">
        <f t="shared" si="17"/>
        <v>4.6</v>
      </c>
      <c r="EE230" s="114">
        <f>IF(V230 &lt;&gt; "", 1+((V230-MIN(discount_rates))*(4)/(MAX(discount_rates) - MIN(discount_rates))), "")</f>
        <v>1</v>
      </c>
      <c r="EF230" s="114" t="str">
        <f>IF(Q230="Debt", (1+((S230-MIN(interest_rates))*(4)/(MAX(interest_rates) - MIN(interest_rates)))), "")</f>
        <v/>
      </c>
      <c r="EG230" s="114" t="str">
        <f>IF(OR(Q230="Revenue Share", Q230="Profit Share"), (1+((R230-MIN(return_mutiples))*(4)/(MAX(return_mutiples) - MIN(return_mutiples)))), "")</f>
        <v/>
      </c>
      <c r="EH230" s="115">
        <f t="shared" si="18"/>
        <v>4.6</v>
      </c>
      <c r="EI230" s="116" t="str">
        <f t="shared" si="19"/>
        <v>CAFES</v>
      </c>
      <c r="EJ230" s="117">
        <f t="shared" si="20"/>
        <v>0.1232876712</v>
      </c>
      <c r="EK230" s="116" t="str">
        <f t="shared" si="21"/>
        <v>Early</v>
      </c>
      <c r="EL230" s="112"/>
      <c r="EM230" s="118">
        <f t="shared" si="22"/>
        <v>3.3</v>
      </c>
      <c r="EN230" s="118">
        <f t="shared" si="23"/>
        <v>1.7</v>
      </c>
      <c r="EO230" s="119">
        <f t="shared" si="24"/>
        <v>5</v>
      </c>
      <c r="EP230" s="115">
        <f>1+((EO230-MIN(market_ratings_sums))*(4)/(MAX(market_ratings_sums) - MIN(market_ratings_sums)))</f>
        <v>2.614035088</v>
      </c>
      <c r="EQ230" s="116" t="str">
        <f t="shared" si="25"/>
        <v>No</v>
      </c>
      <c r="ER230" s="112"/>
      <c r="ES230" s="123">
        <f>1+((DX230-MIN(industry_experiences))*(4)/(MAX(industry_experiences) - MIN(industry_experiences)))</f>
        <v>1.666666667</v>
      </c>
      <c r="ET230" s="123">
        <f>1+((DY230-MIN(previous_startups))*(4)/(MAX(previous_startups) - MIN(previous_startups)))</f>
        <v>1</v>
      </c>
      <c r="EU230" s="123">
        <f>1+((DZ230-MIN(exits))*(4)/(MAX(exits) - MIN(exits)))</f>
        <v>1</v>
      </c>
      <c r="EV230" s="119">
        <f t="shared" si="26"/>
        <v>3.666666667</v>
      </c>
      <c r="EW230" s="124">
        <f>1+((EV230-MIN(team_ratings_sums))*(4)/(MAX(team_ratings_sums) - MIN(team_ratings_sums)))</f>
        <v>1.365217391</v>
      </c>
      <c r="EX230" s="116" t="str">
        <f t="shared" si="27"/>
        <v>35 - 54</v>
      </c>
      <c r="EY230" s="125">
        <f t="shared" si="28"/>
        <v>0.6849315068</v>
      </c>
      <c r="EZ230" s="116">
        <f t="shared" si="29"/>
        <v>1</v>
      </c>
      <c r="FA230" s="125">
        <f t="shared" si="30"/>
        <v>0.4383561644</v>
      </c>
      <c r="FB230" s="116">
        <f t="shared" si="31"/>
        <v>3</v>
      </c>
      <c r="FC230" s="125">
        <f t="shared" si="32"/>
        <v>0.08219178082</v>
      </c>
      <c r="FD230" s="116" t="str">
        <f t="shared" si="33"/>
        <v>Yes</v>
      </c>
      <c r="FE230" s="125">
        <f t="shared" si="34"/>
        <v>0.2465753425</v>
      </c>
      <c r="FF230" s="116" t="str">
        <f t="shared" ref="FF230:FH230" si="520">BJ230</f>
        <v>No</v>
      </c>
      <c r="FG230" s="116" t="str">
        <f t="shared" si="520"/>
        <v>No</v>
      </c>
      <c r="FH230" s="116" t="str">
        <f t="shared" si="520"/>
        <v>No</v>
      </c>
      <c r="FI230" s="112"/>
      <c r="FJ230" s="116" t="str">
        <f t="shared" si="36"/>
        <v>Transactional</v>
      </c>
      <c r="FK230" s="125">
        <f t="shared" si="37"/>
        <v>0.602739726</v>
      </c>
      <c r="FL230" s="116" t="str">
        <f t="shared" si="38"/>
        <v>B2B/B2C</v>
      </c>
      <c r="FM230" s="125">
        <f t="shared" si="39"/>
        <v>0.3287671233</v>
      </c>
      <c r="FN230" s="116" t="str">
        <f t="shared" si="40"/>
        <v>High</v>
      </c>
      <c r="FO230" s="125">
        <f t="shared" si="41"/>
        <v>0.5616438356</v>
      </c>
      <c r="FP230" s="116" t="str">
        <f t="shared" si="42"/>
        <v>Low</v>
      </c>
      <c r="FQ230" s="125">
        <f t="shared" si="43"/>
        <v>0.3561643836</v>
      </c>
      <c r="FR230" s="112"/>
      <c r="FS230" s="123">
        <f t="shared" si="44"/>
        <v>5</v>
      </c>
      <c r="FT230" s="123">
        <f t="shared" si="45"/>
        <v>1.4</v>
      </c>
      <c r="FU230" s="123">
        <f t="shared" si="46"/>
        <v>4.6</v>
      </c>
      <c r="FV230" s="123">
        <f t="shared" si="47"/>
        <v>3.7</v>
      </c>
      <c r="FW230" s="119">
        <f t="shared" si="48"/>
        <v>14.7</v>
      </c>
      <c r="FX230" s="115">
        <f>1+((FW230-MIN(performance_ratings_sums))*(4)/(MAX(performance_ratings_sums) - MIN(performance_ratings_sums)))</f>
        <v>3.990654206</v>
      </c>
      <c r="FY230" s="116" t="str">
        <f t="shared" si="49"/>
        <v>Pre-Profit</v>
      </c>
      <c r="FZ230" s="126">
        <f t="shared" si="50"/>
        <v>0.4931506849</v>
      </c>
      <c r="GA230" s="112"/>
      <c r="GB230" s="127">
        <f t="shared" si="51"/>
        <v>1</v>
      </c>
      <c r="GC230" s="116" t="str">
        <f t="shared" si="52"/>
        <v>Yes</v>
      </c>
      <c r="GD230" s="126">
        <f t="shared" si="53"/>
        <v>0.2328767123</v>
      </c>
      <c r="GE230" s="126" t="str">
        <f t="shared" si="54"/>
        <v/>
      </c>
      <c r="GF230" s="126">
        <f t="shared" si="55"/>
        <v>0</v>
      </c>
      <c r="GG230" s="126" t="str">
        <f t="shared" si="56"/>
        <v/>
      </c>
      <c r="GH230" s="126">
        <f t="shared" si="57"/>
        <v>0</v>
      </c>
      <c r="GI230" s="112"/>
      <c r="GJ230" s="116"/>
      <c r="GK230" s="119">
        <f t="shared" si="58"/>
        <v>13.56990668</v>
      </c>
      <c r="GL230" s="128">
        <f>1+((GK230-MIN(ratings_sums))*(4)/(MAX(ratings_sums) - MIN(ratings_sums)))</f>
        <v>2.956385926</v>
      </c>
    </row>
    <row r="231" ht="15.75" customHeight="1">
      <c r="A231" s="161" t="s">
        <v>1128</v>
      </c>
      <c r="B231" s="15">
        <v>1792640.0</v>
      </c>
      <c r="C231" s="162" t="s">
        <v>1517</v>
      </c>
      <c r="D231" s="209">
        <v>43857.66527777778</v>
      </c>
      <c r="E231" s="15" t="s">
        <v>198</v>
      </c>
      <c r="F231" s="164" t="s">
        <v>1518</v>
      </c>
      <c r="G231" s="164" t="s">
        <v>1519</v>
      </c>
      <c r="H231" s="210">
        <v>43894.0</v>
      </c>
      <c r="I231" s="162" t="s">
        <v>1520</v>
      </c>
      <c r="J231" s="162" t="s">
        <v>1521</v>
      </c>
      <c r="K231" s="15" t="s">
        <v>383</v>
      </c>
      <c r="L231" s="15" t="s">
        <v>390</v>
      </c>
      <c r="M231" s="15" t="s">
        <v>31</v>
      </c>
      <c r="N231" s="15" t="s">
        <v>32</v>
      </c>
      <c r="O231" s="15" t="s">
        <v>35</v>
      </c>
      <c r="Q231" s="15" t="s">
        <v>84</v>
      </c>
      <c r="R231" s="166"/>
      <c r="S231" s="120"/>
      <c r="U231" s="69">
        <v>2339270.0</v>
      </c>
      <c r="V231" s="132">
        <v>0.0</v>
      </c>
      <c r="W231" s="96">
        <f t="shared" si="125"/>
        <v>2339270</v>
      </c>
      <c r="X231" s="99">
        <f t="shared" si="126"/>
        <v>2339270</v>
      </c>
      <c r="Y231" s="99" t="str">
        <f t="shared" si="127"/>
        <v>$2M - $4M</v>
      </c>
      <c r="Z231" s="15" t="s">
        <v>86</v>
      </c>
      <c r="AA231" s="15" t="s">
        <v>37</v>
      </c>
      <c r="AB231" s="15" t="s">
        <v>38</v>
      </c>
      <c r="AC231" s="15" t="s">
        <v>493</v>
      </c>
      <c r="AD231" s="15" t="s">
        <v>39</v>
      </c>
      <c r="AE231" s="15" t="s">
        <v>39</v>
      </c>
      <c r="AF231" s="15" t="s">
        <v>469</v>
      </c>
      <c r="AG231" s="69">
        <v>2.0E11</v>
      </c>
      <c r="AH231" s="97" t="str">
        <f t="shared" si="128"/>
        <v>$100B-$250B</v>
      </c>
      <c r="AI231" s="69">
        <v>4.71E9</v>
      </c>
      <c r="AJ231" s="97" t="str">
        <f t="shared" si="129"/>
        <v>$1B-$5B</v>
      </c>
      <c r="AK231" s="167">
        <v>0.16</v>
      </c>
      <c r="AL231" s="88" t="str">
        <f t="shared" si="130"/>
        <v>10%-20%</v>
      </c>
      <c r="AM231" s="15">
        <v>6.0</v>
      </c>
      <c r="AN231" s="15" t="s">
        <v>39</v>
      </c>
      <c r="AO231" s="15" t="s">
        <v>89</v>
      </c>
      <c r="AP231" s="15" t="s">
        <v>40</v>
      </c>
      <c r="AQ231" s="168"/>
      <c r="AR231" s="168"/>
      <c r="AS231" s="15" t="s">
        <v>469</v>
      </c>
      <c r="AT231" s="15" t="s">
        <v>469</v>
      </c>
      <c r="AU231" s="15" t="s">
        <v>469</v>
      </c>
      <c r="AV231" s="15" t="s">
        <v>469</v>
      </c>
      <c r="AW231" s="69">
        <v>0.0</v>
      </c>
      <c r="AX231" s="96" t="str">
        <f t="shared" si="131"/>
        <v>&lt; $10K</v>
      </c>
      <c r="AY231" s="69">
        <v>19.0</v>
      </c>
      <c r="AZ231" s="69">
        <v>0.0</v>
      </c>
      <c r="BA231" s="103" t="str">
        <f t="shared" si="132"/>
        <v>&lt; $10K</v>
      </c>
      <c r="BB231" s="103">
        <f t="shared" si="133"/>
        <v>1</v>
      </c>
      <c r="BC231" s="103" t="str">
        <f t="shared" si="134"/>
        <v>90% - 100%</v>
      </c>
      <c r="BD231" s="15" t="s">
        <v>41</v>
      </c>
      <c r="BF231" s="15" t="s">
        <v>469</v>
      </c>
      <c r="BG231" s="15">
        <v>0.0</v>
      </c>
      <c r="BH231" s="15">
        <v>1.0</v>
      </c>
      <c r="BI231" s="15" t="s">
        <v>493</v>
      </c>
      <c r="BJ231" s="15" t="s">
        <v>469</v>
      </c>
      <c r="BK231" s="15" t="s">
        <v>469</v>
      </c>
      <c r="BL231" s="15" t="s">
        <v>469</v>
      </c>
      <c r="BM231" s="15">
        <v>1.0</v>
      </c>
      <c r="BN231" s="15">
        <v>1.0</v>
      </c>
      <c r="BO231" s="15">
        <v>0.0</v>
      </c>
      <c r="BP231" s="15">
        <v>0.0</v>
      </c>
      <c r="BQ231" s="108"/>
      <c r="BR231" s="15">
        <v>3.0</v>
      </c>
      <c r="BS231" s="15">
        <v>1.0</v>
      </c>
      <c r="BT231" s="15">
        <v>0.0</v>
      </c>
      <c r="BU231" s="15">
        <v>42.0</v>
      </c>
      <c r="BV231" s="15" t="s">
        <v>469</v>
      </c>
      <c r="BW231" s="108"/>
      <c r="CC231" s="108"/>
      <c r="CI231" s="108"/>
      <c r="CO231" s="108"/>
      <c r="CU231" s="108"/>
      <c r="DA231" s="108"/>
      <c r="DG231" s="108"/>
      <c r="DM231" s="108"/>
      <c r="DS231" s="108"/>
      <c r="DT231" s="108"/>
      <c r="DU231" s="108"/>
      <c r="DW231" s="109"/>
      <c r="DX231" s="110">
        <f t="shared" si="13"/>
        <v>3</v>
      </c>
      <c r="DY231" s="111">
        <f t="shared" ref="DY231:DZ231" si="521">sum(BS231,BY231,CE231,CK231,CQ231,CW231,DC231,DI231,DO231)</f>
        <v>1</v>
      </c>
      <c r="DZ231" s="111">
        <f t="shared" si="521"/>
        <v>0</v>
      </c>
      <c r="EA231" s="110">
        <f t="shared" si="15"/>
        <v>42</v>
      </c>
      <c r="EB231" s="99" t="str">
        <f t="shared" si="16"/>
        <v>35 - 54</v>
      </c>
      <c r="EC231" s="112"/>
      <c r="ED231" s="113">
        <f t="shared" si="17"/>
        <v>4.6</v>
      </c>
      <c r="EE231" s="114">
        <f>IF(V231 &lt;&gt; "", 1+((V231-MIN(discount_rates))*(4)/(MAX(discount_rates) - MIN(discount_rates))), "")</f>
        <v>1</v>
      </c>
      <c r="EF231" s="114" t="str">
        <f>IF(Q231="Debt", (1+((S231-MIN(interest_rates))*(4)/(MAX(interest_rates) - MIN(interest_rates)))), "")</f>
        <v/>
      </c>
      <c r="EG231" s="114" t="str">
        <f>IF(OR(Q231="Revenue Share", Q231="Profit Share"), (1+((R231-MIN(return_mutiples))*(4)/(MAX(return_mutiples) - MIN(return_mutiples)))), "")</f>
        <v/>
      </c>
      <c r="EH231" s="115">
        <f t="shared" si="18"/>
        <v>4.6</v>
      </c>
      <c r="EI231" s="116" t="str">
        <f t="shared" si="19"/>
        <v>Convertible Note</v>
      </c>
      <c r="EJ231" s="117">
        <f t="shared" si="20"/>
        <v>0.1232876712</v>
      </c>
      <c r="EK231" s="116" t="str">
        <f t="shared" si="21"/>
        <v>Early</v>
      </c>
      <c r="EL231" s="112"/>
      <c r="EM231" s="118">
        <f t="shared" si="22"/>
        <v>2.7</v>
      </c>
      <c r="EN231" s="118">
        <f t="shared" si="23"/>
        <v>2.3</v>
      </c>
      <c r="EO231" s="119">
        <f t="shared" si="24"/>
        <v>5</v>
      </c>
      <c r="EP231" s="115">
        <f>1+((EO231-MIN(market_ratings_sums))*(4)/(MAX(market_ratings_sums) - MIN(market_ratings_sums)))</f>
        <v>2.614035088</v>
      </c>
      <c r="EQ231" s="116" t="str">
        <f t="shared" si="25"/>
        <v>No</v>
      </c>
      <c r="ER231" s="112"/>
      <c r="ES231" s="123">
        <f>1+((DX231-MIN(industry_experiences))*(4)/(MAX(industry_experiences) - MIN(industry_experiences)))</f>
        <v>1.285714286</v>
      </c>
      <c r="ET231" s="123">
        <f>1+((DY231-MIN(previous_startups))*(4)/(MAX(previous_startups) - MIN(previous_startups)))</f>
        <v>1.444444444</v>
      </c>
      <c r="EU231" s="123">
        <f>1+((DZ231-MIN(exits))*(4)/(MAX(exits) - MIN(exits)))</f>
        <v>1</v>
      </c>
      <c r="EV231" s="119">
        <f t="shared" si="26"/>
        <v>3.73015873</v>
      </c>
      <c r="EW231" s="124">
        <f>1+((EV231-MIN(team_ratings_sums))*(4)/(MAX(team_ratings_sums) - MIN(team_ratings_sums)))</f>
        <v>1.4</v>
      </c>
      <c r="EX231" s="116" t="str">
        <f t="shared" si="27"/>
        <v>35 - 54</v>
      </c>
      <c r="EY231" s="125">
        <f t="shared" si="28"/>
        <v>0.6849315068</v>
      </c>
      <c r="EZ231" s="116">
        <f t="shared" si="29"/>
        <v>1</v>
      </c>
      <c r="FA231" s="125">
        <f t="shared" si="30"/>
        <v>0.4383561644</v>
      </c>
      <c r="FB231" s="116">
        <f t="shared" si="31"/>
        <v>1</v>
      </c>
      <c r="FC231" s="125">
        <f t="shared" si="32"/>
        <v>0.08219178082</v>
      </c>
      <c r="FD231" s="116" t="str">
        <f t="shared" si="33"/>
        <v>Yes</v>
      </c>
      <c r="FE231" s="125">
        <f t="shared" si="34"/>
        <v>0.2465753425</v>
      </c>
      <c r="FF231" s="116" t="str">
        <f t="shared" ref="FF231:FH231" si="522">BJ231</f>
        <v>No</v>
      </c>
      <c r="FG231" s="116" t="str">
        <f t="shared" si="522"/>
        <v>No</v>
      </c>
      <c r="FH231" s="116" t="str">
        <f t="shared" si="522"/>
        <v>No</v>
      </c>
      <c r="FI231" s="112"/>
      <c r="FJ231" s="116" t="str">
        <f t="shared" si="36"/>
        <v>Recurring</v>
      </c>
      <c r="FK231" s="125">
        <f t="shared" si="37"/>
        <v>0.397260274</v>
      </c>
      <c r="FL231" s="116" t="str">
        <f t="shared" si="38"/>
        <v>B2B</v>
      </c>
      <c r="FM231" s="125">
        <f t="shared" si="39"/>
        <v>0.2465753425</v>
      </c>
      <c r="FN231" s="116" t="str">
        <f t="shared" si="40"/>
        <v>High</v>
      </c>
      <c r="FO231" s="125">
        <f t="shared" si="41"/>
        <v>0.5616438356</v>
      </c>
      <c r="FP231" s="116" t="str">
        <f t="shared" si="42"/>
        <v>High</v>
      </c>
      <c r="FQ231" s="125">
        <f t="shared" si="43"/>
        <v>0.6438356164</v>
      </c>
      <c r="FR231" s="112"/>
      <c r="FS231" s="123">
        <f t="shared" si="44"/>
        <v>1</v>
      </c>
      <c r="FT231" s="123">
        <f t="shared" si="45"/>
        <v>1</v>
      </c>
      <c r="FU231" s="123">
        <f t="shared" si="46"/>
        <v>1</v>
      </c>
      <c r="FV231" s="123">
        <f t="shared" si="47"/>
        <v>5</v>
      </c>
      <c r="FW231" s="119">
        <f t="shared" si="48"/>
        <v>8</v>
      </c>
      <c r="FX231" s="115">
        <f>1+((FW231-MIN(performance_ratings_sums))*(4)/(MAX(performance_ratings_sums) - MIN(performance_ratings_sums)))</f>
        <v>1.485981308</v>
      </c>
      <c r="FY231" s="116" t="str">
        <f t="shared" si="49"/>
        <v>Pre-Product</v>
      </c>
      <c r="FZ231" s="126">
        <f t="shared" si="50"/>
        <v>0.2328767123</v>
      </c>
      <c r="GA231" s="112"/>
      <c r="GB231" s="127">
        <f t="shared" si="51"/>
        <v>3</v>
      </c>
      <c r="GC231" s="116" t="str">
        <f t="shared" si="52"/>
        <v>No</v>
      </c>
      <c r="GD231" s="126">
        <f t="shared" si="53"/>
        <v>0.7671232877</v>
      </c>
      <c r="GE231" s="126" t="str">
        <f t="shared" si="54"/>
        <v/>
      </c>
      <c r="GF231" s="126">
        <f t="shared" si="55"/>
        <v>0</v>
      </c>
      <c r="GG231" s="126" t="str">
        <f t="shared" si="56"/>
        <v/>
      </c>
      <c r="GH231" s="126">
        <f t="shared" si="57"/>
        <v>0</v>
      </c>
      <c r="GI231" s="112"/>
      <c r="GJ231" s="116"/>
      <c r="GK231" s="119">
        <f t="shared" si="58"/>
        <v>13.1000164</v>
      </c>
      <c r="GL231" s="128">
        <f>1+((GK231-MIN(ratings_sums))*(4)/(MAX(ratings_sums) - MIN(ratings_sums)))</f>
        <v>2.812204805</v>
      </c>
    </row>
    <row r="232" ht="15.75" customHeight="1">
      <c r="A232" s="161" t="s">
        <v>1128</v>
      </c>
      <c r="B232" s="15">
        <v>1700943.0</v>
      </c>
      <c r="C232" s="162" t="s">
        <v>1522</v>
      </c>
      <c r="D232" s="209">
        <v>43857.66875</v>
      </c>
      <c r="E232" s="15" t="s">
        <v>369</v>
      </c>
      <c r="F232" s="164" t="s">
        <v>1523</v>
      </c>
      <c r="G232" s="164" t="s">
        <v>1524</v>
      </c>
      <c r="H232" s="210">
        <v>43853.0</v>
      </c>
      <c r="I232" s="162" t="s">
        <v>1525</v>
      </c>
      <c r="J232" s="162" t="s">
        <v>1522</v>
      </c>
      <c r="K232" s="15" t="s">
        <v>436</v>
      </c>
      <c r="L232" s="15" t="s">
        <v>349</v>
      </c>
      <c r="M232" s="15" t="s">
        <v>31</v>
      </c>
      <c r="N232" s="15" t="s">
        <v>82</v>
      </c>
      <c r="O232" s="15" t="s">
        <v>35</v>
      </c>
      <c r="Q232" s="15" t="s">
        <v>195</v>
      </c>
      <c r="R232" s="166"/>
      <c r="S232" s="120"/>
      <c r="T232" s="69"/>
      <c r="U232" s="69">
        <v>1.0E7</v>
      </c>
      <c r="V232" s="132">
        <v>0.2</v>
      </c>
      <c r="W232" s="96">
        <f t="shared" si="125"/>
        <v>8000000</v>
      </c>
      <c r="X232" s="98">
        <f t="shared" si="126"/>
        <v>8000000</v>
      </c>
      <c r="Y232" s="99" t="str">
        <f t="shared" si="127"/>
        <v>$6M - $8M</v>
      </c>
      <c r="Z232" s="15" t="s">
        <v>86</v>
      </c>
      <c r="AA232" s="15" t="s">
        <v>37</v>
      </c>
      <c r="AB232" s="15" t="s">
        <v>38</v>
      </c>
      <c r="AC232" s="15" t="s">
        <v>493</v>
      </c>
      <c r="AD232" s="15" t="s">
        <v>39</v>
      </c>
      <c r="AE232" s="15" t="s">
        <v>89</v>
      </c>
      <c r="AF232" s="15" t="s">
        <v>469</v>
      </c>
      <c r="AG232" s="69">
        <v>2.78E10</v>
      </c>
      <c r="AH232" s="97" t="str">
        <f t="shared" si="128"/>
        <v>$25B-$50B</v>
      </c>
      <c r="AI232" s="69">
        <v>2.5E9</v>
      </c>
      <c r="AJ232" s="97" t="str">
        <f t="shared" si="129"/>
        <v>$1B-$5B</v>
      </c>
      <c r="AK232" s="167">
        <v>0.01</v>
      </c>
      <c r="AL232" s="88" t="str">
        <f t="shared" si="130"/>
        <v>0%-10%</v>
      </c>
      <c r="AM232" s="15">
        <v>3.0</v>
      </c>
      <c r="AN232" s="15" t="s">
        <v>39</v>
      </c>
      <c r="AO232" s="15" t="s">
        <v>89</v>
      </c>
      <c r="AP232" s="15" t="s">
        <v>90</v>
      </c>
      <c r="AQ232" s="168"/>
      <c r="AR232" s="168"/>
      <c r="AS232" s="15" t="s">
        <v>469</v>
      </c>
      <c r="AT232" s="15" t="s">
        <v>469</v>
      </c>
      <c r="AU232" s="15" t="s">
        <v>493</v>
      </c>
      <c r="AV232" s="15" t="s">
        <v>493</v>
      </c>
      <c r="AW232" s="69">
        <v>18031.0</v>
      </c>
      <c r="AX232" s="96" t="str">
        <f t="shared" si="131"/>
        <v>$10K - $50K</v>
      </c>
      <c r="AY232" s="69">
        <v>14399.0</v>
      </c>
      <c r="AZ232" s="69">
        <v>165974.0</v>
      </c>
      <c r="BA232" s="103" t="str">
        <f t="shared" si="132"/>
        <v>$100K - $500K</v>
      </c>
      <c r="BB232" s="103">
        <f t="shared" si="133"/>
        <v>0.08675455192</v>
      </c>
      <c r="BC232" s="103" t="str">
        <f t="shared" si="134"/>
        <v>&lt; 10%</v>
      </c>
      <c r="BD232" s="15" t="s">
        <v>107</v>
      </c>
      <c r="BF232" s="15" t="s">
        <v>493</v>
      </c>
      <c r="BG232" s="15">
        <v>0.0</v>
      </c>
      <c r="BH232" s="15">
        <v>2.0</v>
      </c>
      <c r="BI232" s="15" t="s">
        <v>469</v>
      </c>
      <c r="BJ232" s="15" t="s">
        <v>469</v>
      </c>
      <c r="BK232" s="15" t="s">
        <v>493</v>
      </c>
      <c r="BL232" s="15" t="s">
        <v>469</v>
      </c>
      <c r="BM232" s="15">
        <v>2.0</v>
      </c>
      <c r="BN232" s="15">
        <v>2.0</v>
      </c>
      <c r="BO232" s="15">
        <v>0.0</v>
      </c>
      <c r="BP232" s="15">
        <v>0.0</v>
      </c>
      <c r="BQ232" s="108"/>
      <c r="BR232" s="15">
        <v>0.0</v>
      </c>
      <c r="BS232" s="15">
        <v>1.0</v>
      </c>
      <c r="BT232" s="15">
        <v>0.0</v>
      </c>
      <c r="BU232" s="15">
        <v>27.0</v>
      </c>
      <c r="BV232" s="15" t="s">
        <v>469</v>
      </c>
      <c r="BW232" s="108"/>
      <c r="BX232" s="15">
        <v>0.0</v>
      </c>
      <c r="BY232" s="15">
        <v>0.0</v>
      </c>
      <c r="BZ232" s="15">
        <v>0.0</v>
      </c>
      <c r="CA232" s="15">
        <v>32.0</v>
      </c>
      <c r="CB232" s="15" t="s">
        <v>469</v>
      </c>
      <c r="CC232" s="108"/>
      <c r="CI232" s="108"/>
      <c r="CO232" s="108"/>
      <c r="CU232" s="108"/>
      <c r="DA232" s="108"/>
      <c r="DG232" s="108"/>
      <c r="DM232" s="108"/>
      <c r="DS232" s="108"/>
      <c r="DT232" s="108"/>
      <c r="DU232" s="108"/>
      <c r="DW232" s="109"/>
      <c r="DX232" s="110">
        <f t="shared" si="13"/>
        <v>0</v>
      </c>
      <c r="DY232" s="111">
        <f t="shared" ref="DY232:DZ232" si="523">sum(BS232,BY232,CE232,CK232,CQ232,CW232,DC232,DI232,DO232)</f>
        <v>1</v>
      </c>
      <c r="DZ232" s="111">
        <f t="shared" si="523"/>
        <v>0</v>
      </c>
      <c r="EA232" s="110">
        <f t="shared" si="15"/>
        <v>29.5</v>
      </c>
      <c r="EB232" s="99" t="str">
        <f t="shared" si="16"/>
        <v>20 - 34</v>
      </c>
      <c r="EC232" s="112"/>
      <c r="ED232" s="113">
        <f t="shared" si="17"/>
        <v>4.2</v>
      </c>
      <c r="EE232" s="114">
        <f>IF(V232 &lt;&gt; "", 1+((V232-MIN(discount_rates))*(4)/(MAX(discount_rates) - MIN(discount_rates))), "")</f>
        <v>3.105263158</v>
      </c>
      <c r="EF232" s="114" t="str">
        <f>IF(Q232="Debt", (1+((S232-MIN(interest_rates))*(4)/(MAX(interest_rates) - MIN(interest_rates)))), "")</f>
        <v/>
      </c>
      <c r="EG232" s="114" t="str">
        <f>IF(OR(Q232="Revenue Share", Q232="Profit Share"), (1+((R232-MIN(return_mutiples))*(4)/(MAX(return_mutiples) - MIN(return_mutiples)))), "")</f>
        <v/>
      </c>
      <c r="EH232" s="115">
        <f t="shared" si="18"/>
        <v>4.2</v>
      </c>
      <c r="EI232" s="116" t="str">
        <f t="shared" si="19"/>
        <v>SAFE</v>
      </c>
      <c r="EJ232" s="117">
        <f t="shared" si="20"/>
        <v>0.3561643836</v>
      </c>
      <c r="EK232" s="116" t="str">
        <f t="shared" si="21"/>
        <v>Early</v>
      </c>
      <c r="EL232" s="112"/>
      <c r="EM232" s="118">
        <f t="shared" si="22"/>
        <v>2.7</v>
      </c>
      <c r="EN232" s="118">
        <f t="shared" si="23"/>
        <v>1.7</v>
      </c>
      <c r="EO232" s="119">
        <f t="shared" si="24"/>
        <v>4.4</v>
      </c>
      <c r="EP232" s="115">
        <f>1+((EO232-MIN(market_ratings_sums))*(4)/(MAX(market_ratings_sums) - MIN(market_ratings_sums)))</f>
        <v>2.192982456</v>
      </c>
      <c r="EQ232" s="116" t="str">
        <f t="shared" si="25"/>
        <v>No</v>
      </c>
      <c r="ER232" s="112"/>
      <c r="ES232" s="123">
        <f>1+((DX232-MIN(industry_experiences))*(4)/(MAX(industry_experiences) - MIN(industry_experiences)))</f>
        <v>1</v>
      </c>
      <c r="ET232" s="123">
        <f>1+((DY232-MIN(previous_startups))*(4)/(MAX(previous_startups) - MIN(previous_startups)))</f>
        <v>1.444444444</v>
      </c>
      <c r="EU232" s="123">
        <f>1+((DZ232-MIN(exits))*(4)/(MAX(exits) - MIN(exits)))</f>
        <v>1</v>
      </c>
      <c r="EV232" s="119">
        <f t="shared" si="26"/>
        <v>3.444444444</v>
      </c>
      <c r="EW232" s="124">
        <f>1+((EV232-MIN(team_ratings_sums))*(4)/(MAX(team_ratings_sums) - MIN(team_ratings_sums)))</f>
        <v>1.243478261</v>
      </c>
      <c r="EX232" s="116" t="str">
        <f t="shared" si="27"/>
        <v>20 - 34</v>
      </c>
      <c r="EY232" s="125">
        <f t="shared" si="28"/>
        <v>0.2054794521</v>
      </c>
      <c r="EZ232" s="116">
        <f t="shared" si="29"/>
        <v>2</v>
      </c>
      <c r="FA232" s="125">
        <f t="shared" si="30"/>
        <v>0.4520547945</v>
      </c>
      <c r="FB232" s="116">
        <f t="shared" si="31"/>
        <v>2</v>
      </c>
      <c r="FC232" s="125">
        <f t="shared" si="32"/>
        <v>0.1369863014</v>
      </c>
      <c r="FD232" s="116" t="str">
        <f t="shared" si="33"/>
        <v>No</v>
      </c>
      <c r="FE232" s="125">
        <f t="shared" si="34"/>
        <v>0.7534246575</v>
      </c>
      <c r="FF232" s="116" t="str">
        <f t="shared" ref="FF232:FH232" si="524">BJ232</f>
        <v>No</v>
      </c>
      <c r="FG232" s="116" t="str">
        <f t="shared" si="524"/>
        <v>Yes</v>
      </c>
      <c r="FH232" s="116" t="str">
        <f t="shared" si="524"/>
        <v>No</v>
      </c>
      <c r="FI232" s="112"/>
      <c r="FJ232" s="116" t="str">
        <f t="shared" si="36"/>
        <v>Recurring</v>
      </c>
      <c r="FK232" s="125">
        <f t="shared" si="37"/>
        <v>0.397260274</v>
      </c>
      <c r="FL232" s="116" t="str">
        <f t="shared" si="38"/>
        <v>B2B</v>
      </c>
      <c r="FM232" s="125">
        <f t="shared" si="39"/>
        <v>0.2465753425</v>
      </c>
      <c r="FN232" s="116" t="str">
        <f t="shared" si="40"/>
        <v>High</v>
      </c>
      <c r="FO232" s="125">
        <f t="shared" si="41"/>
        <v>0.5616438356</v>
      </c>
      <c r="FP232" s="116" t="str">
        <f t="shared" si="42"/>
        <v>Low</v>
      </c>
      <c r="FQ232" s="125">
        <f t="shared" si="43"/>
        <v>0.3561643836</v>
      </c>
      <c r="FR232" s="112"/>
      <c r="FS232" s="123">
        <f t="shared" si="44"/>
        <v>5</v>
      </c>
      <c r="FT232" s="123">
        <f t="shared" si="45"/>
        <v>1.4</v>
      </c>
      <c r="FU232" s="123">
        <f t="shared" si="46"/>
        <v>5</v>
      </c>
      <c r="FV232" s="123">
        <f t="shared" si="47"/>
        <v>3.7</v>
      </c>
      <c r="FW232" s="119">
        <f t="shared" si="48"/>
        <v>15.1</v>
      </c>
      <c r="FX232" s="115">
        <f>1+((FW232-MIN(performance_ratings_sums))*(4)/(MAX(performance_ratings_sums) - MIN(performance_ratings_sums)))</f>
        <v>4.140186916</v>
      </c>
      <c r="FY232" s="116" t="str">
        <f t="shared" si="49"/>
        <v>Pre-Profit</v>
      </c>
      <c r="FZ232" s="126">
        <f t="shared" si="50"/>
        <v>0.4931506849</v>
      </c>
      <c r="GA232" s="112"/>
      <c r="GB232" s="127">
        <f t="shared" si="51"/>
        <v>3</v>
      </c>
      <c r="GC232" s="116" t="str">
        <f t="shared" si="52"/>
        <v>No</v>
      </c>
      <c r="GD232" s="126">
        <f t="shared" si="53"/>
        <v>0.7671232877</v>
      </c>
      <c r="GE232" s="126" t="str">
        <f t="shared" si="54"/>
        <v/>
      </c>
      <c r="GF232" s="126">
        <f t="shared" si="55"/>
        <v>0</v>
      </c>
      <c r="GG232" s="126" t="str">
        <f t="shared" si="56"/>
        <v/>
      </c>
      <c r="GH232" s="126">
        <f t="shared" si="57"/>
        <v>0</v>
      </c>
      <c r="GI232" s="112"/>
      <c r="GJ232" s="116"/>
      <c r="GK232" s="119">
        <f t="shared" si="58"/>
        <v>14.77664763</v>
      </c>
      <c r="GL232" s="128">
        <f>1+((GK232-MIN(ratings_sums))*(4)/(MAX(ratings_sums) - MIN(ratings_sums)))</f>
        <v>3.326662279</v>
      </c>
    </row>
    <row r="233" ht="15.75" customHeight="1">
      <c r="A233" s="161" t="s">
        <v>1128</v>
      </c>
      <c r="B233" s="15">
        <v>1785115.0</v>
      </c>
      <c r="C233" s="162" t="s">
        <v>1526</v>
      </c>
      <c r="D233" s="209">
        <v>43857.67083333333</v>
      </c>
      <c r="E233" s="15" t="s">
        <v>369</v>
      </c>
      <c r="F233" s="164" t="s">
        <v>1527</v>
      </c>
      <c r="G233" s="164" t="s">
        <v>1528</v>
      </c>
      <c r="H233" s="210">
        <v>43854.0</v>
      </c>
      <c r="I233" s="162" t="s">
        <v>1529</v>
      </c>
      <c r="J233" s="162" t="s">
        <v>1526</v>
      </c>
      <c r="K233" s="15" t="s">
        <v>354</v>
      </c>
      <c r="L233" s="15" t="s">
        <v>390</v>
      </c>
      <c r="M233" s="15" t="s">
        <v>31</v>
      </c>
      <c r="N233" s="15" t="s">
        <v>82</v>
      </c>
      <c r="O233" s="15" t="s">
        <v>35</v>
      </c>
      <c r="Q233" s="15" t="s">
        <v>195</v>
      </c>
      <c r="R233" s="166"/>
      <c r="S233" s="120"/>
      <c r="T233" s="69"/>
      <c r="U233" s="69">
        <v>3500000.0</v>
      </c>
      <c r="V233" s="132">
        <v>0.2</v>
      </c>
      <c r="W233" s="96">
        <f t="shared" si="125"/>
        <v>2800000</v>
      </c>
      <c r="X233" s="98">
        <f t="shared" si="126"/>
        <v>2800000</v>
      </c>
      <c r="Y233" s="99" t="str">
        <f t="shared" si="127"/>
        <v>$2M - $4M</v>
      </c>
      <c r="Z233" s="15" t="s">
        <v>36</v>
      </c>
      <c r="AA233" s="15" t="s">
        <v>123</v>
      </c>
      <c r="AB233" s="15" t="s">
        <v>38</v>
      </c>
      <c r="AC233" s="15" t="s">
        <v>493</v>
      </c>
      <c r="AD233" s="15" t="s">
        <v>89</v>
      </c>
      <c r="AE233" s="15" t="s">
        <v>89</v>
      </c>
      <c r="AF233" s="15" t="s">
        <v>493</v>
      </c>
      <c r="AG233" s="69">
        <v>2.0E11</v>
      </c>
      <c r="AH233" s="97" t="str">
        <f t="shared" si="128"/>
        <v>$100B-$250B</v>
      </c>
      <c r="AI233" s="69">
        <v>1.02E10</v>
      </c>
      <c r="AJ233" s="97" t="str">
        <f t="shared" si="129"/>
        <v>$10B-$25B</v>
      </c>
      <c r="AK233" s="167">
        <v>0.19</v>
      </c>
      <c r="AL233" s="88" t="str">
        <f t="shared" si="130"/>
        <v>10%-20%</v>
      </c>
      <c r="AM233" s="32">
        <v>2650.0</v>
      </c>
      <c r="AN233" s="15" t="s">
        <v>89</v>
      </c>
      <c r="AO233" s="15" t="s">
        <v>89</v>
      </c>
      <c r="AP233" s="15" t="s">
        <v>40</v>
      </c>
      <c r="AQ233" s="168"/>
      <c r="AR233" s="168"/>
      <c r="AS233" s="15" t="s">
        <v>469</v>
      </c>
      <c r="AT233" s="15" t="s">
        <v>469</v>
      </c>
      <c r="AU233" s="15" t="s">
        <v>493</v>
      </c>
      <c r="AV233" s="15" t="s">
        <v>493</v>
      </c>
      <c r="AW233" s="69">
        <v>26014.0</v>
      </c>
      <c r="AX233" s="96" t="str">
        <f t="shared" si="131"/>
        <v>$10K - $50K</v>
      </c>
      <c r="AY233" s="69">
        <v>24926.0</v>
      </c>
      <c r="AZ233" s="69">
        <v>339124.0</v>
      </c>
      <c r="BA233" s="103" t="str">
        <f t="shared" si="132"/>
        <v>$100K - $500K</v>
      </c>
      <c r="BB233" s="103">
        <f t="shared" si="133"/>
        <v>0.07350113823</v>
      </c>
      <c r="BC233" s="103" t="str">
        <f t="shared" si="134"/>
        <v>&lt; 10%</v>
      </c>
      <c r="BD233" s="15" t="s">
        <v>107</v>
      </c>
      <c r="BF233" s="15" t="s">
        <v>493</v>
      </c>
      <c r="BG233" s="15">
        <v>0.0</v>
      </c>
      <c r="BH233" s="15">
        <v>2.0</v>
      </c>
      <c r="BI233" s="15" t="s">
        <v>493</v>
      </c>
      <c r="BJ233" s="15" t="s">
        <v>493</v>
      </c>
      <c r="BK233" s="15" t="s">
        <v>469</v>
      </c>
      <c r="BL233" s="15" t="s">
        <v>469</v>
      </c>
      <c r="BM233" s="15">
        <v>1.0</v>
      </c>
      <c r="BN233" s="15">
        <v>2.0</v>
      </c>
      <c r="BO233" s="15">
        <v>3.0</v>
      </c>
      <c r="BP233" s="15">
        <v>0.0</v>
      </c>
      <c r="BQ233" s="108"/>
      <c r="BR233" s="15">
        <v>2.0</v>
      </c>
      <c r="BS233" s="15">
        <v>1.0</v>
      </c>
      <c r="BT233" s="15">
        <v>1.0</v>
      </c>
      <c r="BU233" s="15">
        <v>42.0</v>
      </c>
      <c r="BV233" s="15" t="s">
        <v>469</v>
      </c>
      <c r="BW233" s="108"/>
      <c r="BX233" s="15">
        <v>2.0</v>
      </c>
      <c r="BY233" s="15">
        <v>1.0</v>
      </c>
      <c r="BZ233" s="15">
        <v>1.0</v>
      </c>
      <c r="CA233" s="15">
        <v>46.0</v>
      </c>
      <c r="CB233" s="15" t="s">
        <v>469</v>
      </c>
      <c r="CC233" s="108"/>
      <c r="CI233" s="108"/>
      <c r="CO233" s="108"/>
      <c r="CU233" s="108"/>
      <c r="DA233" s="108"/>
      <c r="DG233" s="108"/>
      <c r="DM233" s="108"/>
      <c r="DS233" s="108"/>
      <c r="DT233" s="108"/>
      <c r="DU233" s="108"/>
      <c r="DW233" s="109"/>
      <c r="DX233" s="110">
        <f t="shared" si="13"/>
        <v>2</v>
      </c>
      <c r="DY233" s="111">
        <f t="shared" ref="DY233:DZ233" si="525">sum(BS233,BY233,CE233,CK233,CQ233,CW233,DC233,DI233,DO233)</f>
        <v>2</v>
      </c>
      <c r="DZ233" s="111">
        <f t="shared" si="525"/>
        <v>2</v>
      </c>
      <c r="EA233" s="110">
        <f t="shared" si="15"/>
        <v>44</v>
      </c>
      <c r="EB233" s="99" t="str">
        <f t="shared" si="16"/>
        <v>35 - 54</v>
      </c>
      <c r="EC233" s="112"/>
      <c r="ED233" s="113">
        <f t="shared" si="17"/>
        <v>4.6</v>
      </c>
      <c r="EE233" s="114">
        <f>IF(V233 &lt;&gt; "", 1+((V233-MIN(discount_rates))*(4)/(MAX(discount_rates) - MIN(discount_rates))), "")</f>
        <v>3.105263158</v>
      </c>
      <c r="EF233" s="114" t="str">
        <f>IF(Q233="Debt", (1+((S233-MIN(interest_rates))*(4)/(MAX(interest_rates) - MIN(interest_rates)))), "")</f>
        <v/>
      </c>
      <c r="EG233" s="114" t="str">
        <f>IF(OR(Q233="Revenue Share", Q233="Profit Share"), (1+((R233-MIN(return_mutiples))*(4)/(MAX(return_mutiples) - MIN(return_mutiples)))), "")</f>
        <v/>
      </c>
      <c r="EH233" s="115">
        <f t="shared" si="18"/>
        <v>4.6</v>
      </c>
      <c r="EI233" s="116" t="str">
        <f t="shared" si="19"/>
        <v>SAFE</v>
      </c>
      <c r="EJ233" s="117">
        <f t="shared" si="20"/>
        <v>0.3561643836</v>
      </c>
      <c r="EK233" s="116" t="str">
        <f t="shared" si="21"/>
        <v>Early</v>
      </c>
      <c r="EL233" s="112"/>
      <c r="EM233" s="118">
        <f t="shared" si="22"/>
        <v>3.3</v>
      </c>
      <c r="EN233" s="118">
        <f t="shared" si="23"/>
        <v>2.3</v>
      </c>
      <c r="EO233" s="119">
        <f t="shared" si="24"/>
        <v>5.6</v>
      </c>
      <c r="EP233" s="115">
        <f>1+((EO233-MIN(market_ratings_sums))*(4)/(MAX(market_ratings_sums) - MIN(market_ratings_sums)))</f>
        <v>3.035087719</v>
      </c>
      <c r="EQ233" s="116" t="str">
        <f t="shared" si="25"/>
        <v>No</v>
      </c>
      <c r="ER233" s="112"/>
      <c r="ES233" s="123">
        <f>1+((DX233-MIN(industry_experiences))*(4)/(MAX(industry_experiences) - MIN(industry_experiences)))</f>
        <v>1.19047619</v>
      </c>
      <c r="ET233" s="123">
        <f>1+((DY233-MIN(previous_startups))*(4)/(MAX(previous_startups) - MIN(previous_startups)))</f>
        <v>1.888888889</v>
      </c>
      <c r="EU233" s="123">
        <f>1+((DZ233-MIN(exits))*(4)/(MAX(exits) - MIN(exits)))</f>
        <v>3</v>
      </c>
      <c r="EV233" s="119">
        <f t="shared" si="26"/>
        <v>6.079365079</v>
      </c>
      <c r="EW233" s="124">
        <f>1+((EV233-MIN(team_ratings_sums))*(4)/(MAX(team_ratings_sums) - MIN(team_ratings_sums)))</f>
        <v>2.686956522</v>
      </c>
      <c r="EX233" s="116" t="str">
        <f t="shared" si="27"/>
        <v>35 - 54</v>
      </c>
      <c r="EY233" s="125">
        <f t="shared" si="28"/>
        <v>0.6849315068</v>
      </c>
      <c r="EZ233" s="116">
        <f t="shared" si="29"/>
        <v>2</v>
      </c>
      <c r="FA233" s="125">
        <f t="shared" si="30"/>
        <v>0.4520547945</v>
      </c>
      <c r="FB233" s="116">
        <f t="shared" si="31"/>
        <v>2</v>
      </c>
      <c r="FC233" s="125">
        <f t="shared" si="32"/>
        <v>0.1369863014</v>
      </c>
      <c r="FD233" s="116" t="str">
        <f t="shared" si="33"/>
        <v>Yes</v>
      </c>
      <c r="FE233" s="125">
        <f t="shared" si="34"/>
        <v>0.2465753425</v>
      </c>
      <c r="FF233" s="116" t="str">
        <f t="shared" ref="FF233:FH233" si="526">BJ233</f>
        <v>Yes</v>
      </c>
      <c r="FG233" s="116" t="str">
        <f t="shared" si="526"/>
        <v>No</v>
      </c>
      <c r="FH233" s="116" t="str">
        <f t="shared" si="526"/>
        <v>No</v>
      </c>
      <c r="FI233" s="112"/>
      <c r="FJ233" s="116" t="str">
        <f t="shared" si="36"/>
        <v>Transactional</v>
      </c>
      <c r="FK233" s="125">
        <f t="shared" si="37"/>
        <v>0.602739726</v>
      </c>
      <c r="FL233" s="116" t="str">
        <f t="shared" si="38"/>
        <v>B2B/B2C</v>
      </c>
      <c r="FM233" s="125">
        <f t="shared" si="39"/>
        <v>0.3287671233</v>
      </c>
      <c r="FN233" s="116" t="str">
        <f t="shared" si="40"/>
        <v>Low</v>
      </c>
      <c r="FO233" s="125">
        <f t="shared" si="41"/>
        <v>0.4383561644</v>
      </c>
      <c r="FP233" s="116" t="str">
        <f t="shared" si="42"/>
        <v>Low</v>
      </c>
      <c r="FQ233" s="125">
        <f t="shared" si="43"/>
        <v>0.3561643836</v>
      </c>
      <c r="FR233" s="112"/>
      <c r="FS233" s="123">
        <f t="shared" si="44"/>
        <v>5</v>
      </c>
      <c r="FT233" s="123">
        <f t="shared" si="45"/>
        <v>1.4</v>
      </c>
      <c r="FU233" s="123">
        <f t="shared" si="46"/>
        <v>5</v>
      </c>
      <c r="FV233" s="123">
        <f t="shared" si="47"/>
        <v>3.7</v>
      </c>
      <c r="FW233" s="119">
        <f t="shared" si="48"/>
        <v>15.1</v>
      </c>
      <c r="FX233" s="115">
        <f>1+((FW233-MIN(performance_ratings_sums))*(4)/(MAX(performance_ratings_sums) - MIN(performance_ratings_sums)))</f>
        <v>4.140186916</v>
      </c>
      <c r="FY233" s="116" t="str">
        <f t="shared" si="49"/>
        <v>Pre-Profit</v>
      </c>
      <c r="FZ233" s="126">
        <f t="shared" si="50"/>
        <v>0.4931506849</v>
      </c>
      <c r="GA233" s="112"/>
      <c r="GB233" s="127">
        <f t="shared" si="51"/>
        <v>1</v>
      </c>
      <c r="GC233" s="116" t="str">
        <f t="shared" si="52"/>
        <v>No</v>
      </c>
      <c r="GD233" s="126">
        <f t="shared" si="53"/>
        <v>0.7671232877</v>
      </c>
      <c r="GE233" s="126" t="str">
        <f t="shared" si="54"/>
        <v/>
      </c>
      <c r="GF233" s="126">
        <f t="shared" si="55"/>
        <v>0</v>
      </c>
      <c r="GG233" s="126" t="str">
        <f t="shared" si="56"/>
        <v/>
      </c>
      <c r="GH233" s="126">
        <f t="shared" si="57"/>
        <v>0</v>
      </c>
      <c r="GI233" s="112"/>
      <c r="GJ233" s="116"/>
      <c r="GK233" s="119">
        <f t="shared" si="58"/>
        <v>15.46223116</v>
      </c>
      <c r="GL233" s="128">
        <f>1+((GK233-MIN(ratings_sums))*(4)/(MAX(ratings_sums) - MIN(ratings_sums)))</f>
        <v>3.537026706</v>
      </c>
    </row>
    <row r="234" ht="15.75" customHeight="1">
      <c r="A234" s="161" t="s">
        <v>1128</v>
      </c>
      <c r="B234" s="15">
        <v>1795289.0</v>
      </c>
      <c r="C234" s="162" t="s">
        <v>1530</v>
      </c>
      <c r="D234" s="209">
        <v>43858.79652777778</v>
      </c>
      <c r="E234" s="15" t="s">
        <v>640</v>
      </c>
      <c r="F234" s="164" t="s">
        <v>1531</v>
      </c>
      <c r="G234" s="164" t="s">
        <v>1532</v>
      </c>
      <c r="H234" s="210">
        <v>43901.0</v>
      </c>
      <c r="I234" s="162" t="s">
        <v>1533</v>
      </c>
      <c r="J234" s="162" t="s">
        <v>1530</v>
      </c>
      <c r="K234" s="15" t="s">
        <v>354</v>
      </c>
      <c r="L234" s="15" t="s">
        <v>133</v>
      </c>
      <c r="M234" s="15" t="s">
        <v>31</v>
      </c>
      <c r="N234" s="15" t="s">
        <v>82</v>
      </c>
      <c r="O234" s="15" t="s">
        <v>35</v>
      </c>
      <c r="Q234" s="15" t="s">
        <v>195</v>
      </c>
      <c r="R234" s="166"/>
      <c r="S234" s="120"/>
      <c r="T234" s="69"/>
      <c r="U234" s="69">
        <v>6000000.0</v>
      </c>
      <c r="V234" s="132">
        <v>0.2</v>
      </c>
      <c r="W234" s="96">
        <f t="shared" si="125"/>
        <v>4800000</v>
      </c>
      <c r="X234" s="98">
        <f t="shared" si="126"/>
        <v>4800000</v>
      </c>
      <c r="Y234" s="99" t="str">
        <f t="shared" si="127"/>
        <v>$4M - $6M</v>
      </c>
      <c r="Z234" s="15" t="s">
        <v>36</v>
      </c>
      <c r="AA234" s="15" t="s">
        <v>37</v>
      </c>
      <c r="AB234" s="15" t="s">
        <v>38</v>
      </c>
      <c r="AC234" s="15" t="s">
        <v>493</v>
      </c>
      <c r="AD234" s="15" t="s">
        <v>39</v>
      </c>
      <c r="AE234" s="15" t="s">
        <v>89</v>
      </c>
      <c r="AF234" s="15" t="s">
        <v>469</v>
      </c>
      <c r="AG234" s="69">
        <v>2.0E11</v>
      </c>
      <c r="AH234" s="97" t="str">
        <f t="shared" si="128"/>
        <v>$100B-$250B</v>
      </c>
      <c r="AI234" s="69">
        <v>2.0E11</v>
      </c>
      <c r="AJ234" s="97" t="str">
        <f t="shared" si="129"/>
        <v>$100B-$250B</v>
      </c>
      <c r="AK234" s="167">
        <v>0.13</v>
      </c>
      <c r="AL234" s="88" t="str">
        <f t="shared" si="130"/>
        <v>10%-20%</v>
      </c>
      <c r="AM234" s="15">
        <v>6.0</v>
      </c>
      <c r="AN234" s="15" t="s">
        <v>89</v>
      </c>
      <c r="AO234" s="15" t="s">
        <v>89</v>
      </c>
      <c r="AP234" s="15" t="s">
        <v>40</v>
      </c>
      <c r="AQ234" s="168"/>
      <c r="AR234" s="168"/>
      <c r="AS234" s="15" t="s">
        <v>469</v>
      </c>
      <c r="AT234" s="15" t="s">
        <v>469</v>
      </c>
      <c r="AU234" s="15" t="s">
        <v>493</v>
      </c>
      <c r="AV234" s="15" t="s">
        <v>493</v>
      </c>
      <c r="AW234" s="69">
        <v>47110.0</v>
      </c>
      <c r="AX234" s="96" t="str">
        <f t="shared" si="131"/>
        <v>$10K - $50K</v>
      </c>
      <c r="AY234" s="69">
        <v>6968.0</v>
      </c>
      <c r="AZ234" s="69">
        <v>292186.0</v>
      </c>
      <c r="BA234" s="103" t="str">
        <f t="shared" si="132"/>
        <v>$100K - $500K</v>
      </c>
      <c r="BB234" s="103">
        <f t="shared" si="133"/>
        <v>0.02384782296</v>
      </c>
      <c r="BC234" s="103" t="str">
        <f t="shared" si="134"/>
        <v>&lt; 10%</v>
      </c>
      <c r="BD234" s="15" t="s">
        <v>107</v>
      </c>
      <c r="BF234" s="15" t="s">
        <v>493</v>
      </c>
      <c r="BG234" s="15">
        <v>0.0</v>
      </c>
      <c r="BH234" s="15">
        <v>4.0</v>
      </c>
      <c r="BI234" s="15" t="s">
        <v>493</v>
      </c>
      <c r="BJ234" s="15" t="s">
        <v>469</v>
      </c>
      <c r="BK234" s="15" t="s">
        <v>469</v>
      </c>
      <c r="BL234" s="15" t="s">
        <v>469</v>
      </c>
      <c r="BM234" s="15">
        <v>5.0</v>
      </c>
      <c r="BN234" s="15">
        <v>4.0</v>
      </c>
      <c r="BO234" s="15">
        <v>0.0</v>
      </c>
      <c r="BP234" s="15">
        <v>0.0</v>
      </c>
      <c r="BQ234" s="108"/>
      <c r="BR234" s="15">
        <v>6.0</v>
      </c>
      <c r="BS234" s="15">
        <v>0.0</v>
      </c>
      <c r="BT234" s="15">
        <v>0.0</v>
      </c>
      <c r="BU234" s="15">
        <v>34.0</v>
      </c>
      <c r="BV234" s="15" t="s">
        <v>469</v>
      </c>
      <c r="BW234" s="108"/>
      <c r="BX234" s="15">
        <v>0.0</v>
      </c>
      <c r="BY234" s="15">
        <v>0.0</v>
      </c>
      <c r="BZ234" s="15">
        <v>0.0</v>
      </c>
      <c r="CA234" s="15">
        <v>39.0</v>
      </c>
      <c r="CB234" s="15" t="s">
        <v>493</v>
      </c>
      <c r="CC234" s="108"/>
      <c r="CD234" s="15">
        <v>0.0</v>
      </c>
      <c r="CE234" s="15">
        <v>0.0</v>
      </c>
      <c r="CF234" s="15">
        <v>0.0</v>
      </c>
      <c r="CG234" s="15">
        <v>37.0</v>
      </c>
      <c r="CH234" s="15" t="s">
        <v>469</v>
      </c>
      <c r="CI234" s="108"/>
      <c r="CJ234" s="15">
        <v>0.0</v>
      </c>
      <c r="CK234" s="15">
        <v>1.0</v>
      </c>
      <c r="CL234" s="15">
        <v>0.0</v>
      </c>
      <c r="CN234" s="15">
        <v>0.0</v>
      </c>
      <c r="CO234" s="108"/>
      <c r="CU234" s="108"/>
      <c r="DA234" s="108"/>
      <c r="DG234" s="108"/>
      <c r="DM234" s="108"/>
      <c r="DS234" s="108"/>
      <c r="DT234" s="108"/>
      <c r="DU234" s="108"/>
      <c r="DW234" s="109"/>
      <c r="DX234" s="110">
        <f t="shared" si="13"/>
        <v>1.5</v>
      </c>
      <c r="DY234" s="111">
        <f t="shared" ref="DY234:DZ234" si="527">sum(BS234,BY234,CE234,CK234,CQ234,CW234,DC234,DI234,DO234)</f>
        <v>1</v>
      </c>
      <c r="DZ234" s="111">
        <f t="shared" si="527"/>
        <v>0</v>
      </c>
      <c r="EA234" s="110">
        <f t="shared" si="15"/>
        <v>36.66666667</v>
      </c>
      <c r="EB234" s="99" t="str">
        <f t="shared" si="16"/>
        <v>35 - 54</v>
      </c>
      <c r="EC234" s="112"/>
      <c r="ED234" s="113">
        <f t="shared" si="17"/>
        <v>4.4</v>
      </c>
      <c r="EE234" s="114">
        <f>IF(V234 &lt;&gt; "", 1+((V234-MIN(discount_rates))*(4)/(MAX(discount_rates) - MIN(discount_rates))), "")</f>
        <v>3.105263158</v>
      </c>
      <c r="EF234" s="114" t="str">
        <f>IF(Q234="Debt", (1+((S234-MIN(interest_rates))*(4)/(MAX(interest_rates) - MIN(interest_rates)))), "")</f>
        <v/>
      </c>
      <c r="EG234" s="114" t="str">
        <f>IF(OR(Q234="Revenue Share", Q234="Profit Share"), (1+((R234-MIN(return_mutiples))*(4)/(MAX(return_mutiples) - MIN(return_mutiples)))), "")</f>
        <v/>
      </c>
      <c r="EH234" s="115">
        <f t="shared" si="18"/>
        <v>4.4</v>
      </c>
      <c r="EI234" s="116" t="str">
        <f t="shared" si="19"/>
        <v>SAFE</v>
      </c>
      <c r="EJ234" s="117">
        <f t="shared" si="20"/>
        <v>0.3561643836</v>
      </c>
      <c r="EK234" s="116" t="str">
        <f t="shared" si="21"/>
        <v>Early</v>
      </c>
      <c r="EL234" s="112"/>
      <c r="EM234" s="118">
        <f t="shared" si="22"/>
        <v>4.1</v>
      </c>
      <c r="EN234" s="118">
        <f t="shared" si="23"/>
        <v>2.3</v>
      </c>
      <c r="EO234" s="119">
        <f t="shared" si="24"/>
        <v>6.4</v>
      </c>
      <c r="EP234" s="115">
        <f>1+((EO234-MIN(market_ratings_sums))*(4)/(MAX(market_ratings_sums) - MIN(market_ratings_sums)))</f>
        <v>3.596491228</v>
      </c>
      <c r="EQ234" s="116" t="str">
        <f t="shared" si="25"/>
        <v>No</v>
      </c>
      <c r="ER234" s="112"/>
      <c r="ES234" s="123">
        <f>1+((DX234-MIN(industry_experiences))*(4)/(MAX(industry_experiences) - MIN(industry_experiences)))</f>
        <v>1.142857143</v>
      </c>
      <c r="ET234" s="123">
        <f>1+((DY234-MIN(previous_startups))*(4)/(MAX(previous_startups) - MIN(previous_startups)))</f>
        <v>1.444444444</v>
      </c>
      <c r="EU234" s="123">
        <f>1+((DZ234-MIN(exits))*(4)/(MAX(exits) - MIN(exits)))</f>
        <v>1</v>
      </c>
      <c r="EV234" s="119">
        <f t="shared" si="26"/>
        <v>3.587301587</v>
      </c>
      <c r="EW234" s="124">
        <f>1+((EV234-MIN(team_ratings_sums))*(4)/(MAX(team_ratings_sums) - MIN(team_ratings_sums)))</f>
        <v>1.32173913</v>
      </c>
      <c r="EX234" s="116" t="str">
        <f t="shared" si="27"/>
        <v>35 - 54</v>
      </c>
      <c r="EY234" s="125">
        <f t="shared" si="28"/>
        <v>0.6849315068</v>
      </c>
      <c r="EZ234" s="116">
        <f t="shared" si="29"/>
        <v>4</v>
      </c>
      <c r="FA234" s="125">
        <f t="shared" si="30"/>
        <v>0.05479452055</v>
      </c>
      <c r="FB234" s="116">
        <f t="shared" si="31"/>
        <v>4</v>
      </c>
      <c r="FC234" s="125">
        <f t="shared" si="32"/>
        <v>0.1369863014</v>
      </c>
      <c r="FD234" s="116" t="str">
        <f t="shared" si="33"/>
        <v>Yes</v>
      </c>
      <c r="FE234" s="125">
        <f t="shared" si="34"/>
        <v>0.2465753425</v>
      </c>
      <c r="FF234" s="116" t="str">
        <f t="shared" ref="FF234:FH234" si="528">BJ234</f>
        <v>No</v>
      </c>
      <c r="FG234" s="116" t="str">
        <f t="shared" si="528"/>
        <v>No</v>
      </c>
      <c r="FH234" s="116" t="str">
        <f t="shared" si="528"/>
        <v>No</v>
      </c>
      <c r="FI234" s="112"/>
      <c r="FJ234" s="116" t="str">
        <f t="shared" si="36"/>
        <v>Transactional</v>
      </c>
      <c r="FK234" s="125">
        <f t="shared" si="37"/>
        <v>0.602739726</v>
      </c>
      <c r="FL234" s="116" t="str">
        <f t="shared" si="38"/>
        <v>B2B</v>
      </c>
      <c r="FM234" s="125">
        <f t="shared" si="39"/>
        <v>0.2465753425</v>
      </c>
      <c r="FN234" s="116" t="str">
        <f t="shared" si="40"/>
        <v>High</v>
      </c>
      <c r="FO234" s="125">
        <f t="shared" si="41"/>
        <v>0.5616438356</v>
      </c>
      <c r="FP234" s="116" t="str">
        <f t="shared" si="42"/>
        <v>Low</v>
      </c>
      <c r="FQ234" s="125">
        <f t="shared" si="43"/>
        <v>0.3561643836</v>
      </c>
      <c r="FR234" s="112"/>
      <c r="FS234" s="123">
        <f t="shared" si="44"/>
        <v>5</v>
      </c>
      <c r="FT234" s="123">
        <f t="shared" si="45"/>
        <v>1.4</v>
      </c>
      <c r="FU234" s="123">
        <f t="shared" si="46"/>
        <v>5</v>
      </c>
      <c r="FV234" s="123">
        <f t="shared" si="47"/>
        <v>3.7</v>
      </c>
      <c r="FW234" s="119">
        <f t="shared" si="48"/>
        <v>15.1</v>
      </c>
      <c r="FX234" s="115">
        <f>1+((FW234-MIN(performance_ratings_sums))*(4)/(MAX(performance_ratings_sums) - MIN(performance_ratings_sums)))</f>
        <v>4.140186916</v>
      </c>
      <c r="FY234" s="116" t="str">
        <f t="shared" si="49"/>
        <v>Pre-Profit</v>
      </c>
      <c r="FZ234" s="126">
        <f t="shared" si="50"/>
        <v>0.4931506849</v>
      </c>
      <c r="GA234" s="112"/>
      <c r="GB234" s="127">
        <f t="shared" si="51"/>
        <v>1</v>
      </c>
      <c r="GC234" s="116" t="str">
        <f t="shared" si="52"/>
        <v>No</v>
      </c>
      <c r="GD234" s="126">
        <f t="shared" si="53"/>
        <v>0.7671232877</v>
      </c>
      <c r="GE234" s="126" t="str">
        <f t="shared" si="54"/>
        <v/>
      </c>
      <c r="GF234" s="126">
        <f t="shared" si="55"/>
        <v>0</v>
      </c>
      <c r="GG234" s="126" t="str">
        <f t="shared" si="56"/>
        <v/>
      </c>
      <c r="GH234" s="126">
        <f t="shared" si="57"/>
        <v>0</v>
      </c>
      <c r="GI234" s="112"/>
      <c r="GJ234" s="116"/>
      <c r="GK234" s="119">
        <f t="shared" si="58"/>
        <v>14.45841727</v>
      </c>
      <c r="GL234" s="128">
        <f>1+((GK234-MIN(ratings_sums))*(4)/(MAX(ratings_sums) - MIN(ratings_sums)))</f>
        <v>3.229016487</v>
      </c>
    </row>
    <row r="235" ht="15.75" customHeight="1">
      <c r="A235" s="161" t="s">
        <v>1128</v>
      </c>
      <c r="B235" s="15">
        <v>1786858.0</v>
      </c>
      <c r="C235" s="162" t="s">
        <v>1534</v>
      </c>
      <c r="D235" s="209">
        <v>43858.8</v>
      </c>
      <c r="E235" s="15" t="s">
        <v>381</v>
      </c>
      <c r="F235" s="164" t="s">
        <v>1535</v>
      </c>
      <c r="G235" s="164" t="s">
        <v>1536</v>
      </c>
      <c r="H235" s="210">
        <v>43909.0</v>
      </c>
      <c r="I235" s="162" t="s">
        <v>1537</v>
      </c>
      <c r="J235" s="162" t="s">
        <v>1534</v>
      </c>
      <c r="K235" s="15" t="s">
        <v>436</v>
      </c>
      <c r="L235" s="15" t="s">
        <v>390</v>
      </c>
      <c r="M235" s="15" t="s">
        <v>31</v>
      </c>
      <c r="N235" s="15" t="s">
        <v>82</v>
      </c>
      <c r="O235" s="15" t="s">
        <v>35</v>
      </c>
      <c r="Q235" s="15" t="s">
        <v>121</v>
      </c>
      <c r="R235" s="166"/>
      <c r="S235" s="120"/>
      <c r="T235" s="69">
        <v>8300000.0</v>
      </c>
      <c r="U235" s="69"/>
      <c r="V235" s="132"/>
      <c r="W235" s="96" t="str">
        <f t="shared" si="125"/>
        <v/>
      </c>
      <c r="X235" s="98">
        <f t="shared" si="126"/>
        <v>8300000</v>
      </c>
      <c r="Y235" s="99" t="str">
        <f t="shared" si="127"/>
        <v>$8M - $10M</v>
      </c>
      <c r="Z235" s="15" t="s">
        <v>86</v>
      </c>
      <c r="AA235" s="15" t="s">
        <v>123</v>
      </c>
      <c r="AB235" s="15" t="s">
        <v>38</v>
      </c>
      <c r="AC235" s="15" t="s">
        <v>493</v>
      </c>
      <c r="AD235" s="15" t="s">
        <v>39</v>
      </c>
      <c r="AE235" s="15" t="s">
        <v>89</v>
      </c>
      <c r="AF235" s="15" t="s">
        <v>469</v>
      </c>
      <c r="AG235" s="69">
        <v>4.006E11</v>
      </c>
      <c r="AH235" s="97" t="str">
        <f t="shared" si="128"/>
        <v>$250B-$500B</v>
      </c>
      <c r="AI235" s="69">
        <v>4.006E11</v>
      </c>
      <c r="AJ235" s="97" t="str">
        <f t="shared" si="129"/>
        <v>$250B-$500B</v>
      </c>
      <c r="AK235" s="167">
        <v>0.03</v>
      </c>
      <c r="AL235" s="88" t="str">
        <f t="shared" si="130"/>
        <v>0%-10%</v>
      </c>
      <c r="AM235" s="32">
        <v>0.0</v>
      </c>
      <c r="AN235" s="15" t="s">
        <v>39</v>
      </c>
      <c r="AO235" s="15" t="s">
        <v>89</v>
      </c>
      <c r="AP235" s="15" t="s">
        <v>90</v>
      </c>
      <c r="AQ235" s="168"/>
      <c r="AR235" s="168"/>
      <c r="AS235" s="15" t="s">
        <v>469</v>
      </c>
      <c r="AT235" s="15" t="s">
        <v>469</v>
      </c>
      <c r="AU235" s="15" t="s">
        <v>493</v>
      </c>
      <c r="AV235" s="15" t="s">
        <v>493</v>
      </c>
      <c r="AW235" s="69">
        <v>70607.0</v>
      </c>
      <c r="AX235" s="96" t="str">
        <f t="shared" si="131"/>
        <v>$50K - $100K</v>
      </c>
      <c r="AY235" s="69">
        <v>3894.0</v>
      </c>
      <c r="AZ235" s="69">
        <v>0.0</v>
      </c>
      <c r="BA235" s="103" t="str">
        <f t="shared" si="132"/>
        <v>&lt; $10K</v>
      </c>
      <c r="BB235" s="103">
        <f t="shared" si="133"/>
        <v>1</v>
      </c>
      <c r="BC235" s="103" t="str">
        <f t="shared" si="134"/>
        <v>90% - 100%</v>
      </c>
      <c r="BD235" s="15" t="s">
        <v>107</v>
      </c>
      <c r="BF235" s="15" t="s">
        <v>493</v>
      </c>
      <c r="BG235" s="15">
        <v>0.0</v>
      </c>
      <c r="BH235" s="15">
        <v>1.0</v>
      </c>
      <c r="BI235" s="15" t="s">
        <v>493</v>
      </c>
      <c r="BJ235" s="15" t="s">
        <v>469</v>
      </c>
      <c r="BK235" s="15" t="s">
        <v>469</v>
      </c>
      <c r="BL235" s="15" t="s">
        <v>469</v>
      </c>
      <c r="BM235" s="15">
        <v>4.0</v>
      </c>
      <c r="BN235" s="15">
        <v>1.0</v>
      </c>
      <c r="BO235" s="15">
        <v>14.0</v>
      </c>
      <c r="BP235" s="15">
        <v>0.0</v>
      </c>
      <c r="BQ235" s="108"/>
      <c r="BR235" s="15">
        <v>12.0</v>
      </c>
      <c r="BS235" s="15">
        <v>1.0</v>
      </c>
      <c r="BT235" s="15">
        <v>0.0</v>
      </c>
      <c r="BU235" s="15">
        <v>47.0</v>
      </c>
      <c r="BV235" s="15" t="s">
        <v>469</v>
      </c>
      <c r="BW235" s="108"/>
      <c r="CC235" s="108"/>
      <c r="CI235" s="108"/>
      <c r="CO235" s="108"/>
      <c r="CU235" s="108"/>
      <c r="DA235" s="108"/>
      <c r="DG235" s="108"/>
      <c r="DM235" s="108"/>
      <c r="DS235" s="108"/>
      <c r="DT235" s="108"/>
      <c r="DU235" s="108"/>
      <c r="DW235" s="109"/>
      <c r="DX235" s="110">
        <f t="shared" si="13"/>
        <v>12</v>
      </c>
      <c r="DY235" s="111">
        <f t="shared" ref="DY235:DZ235" si="529">sum(BS235,BY235,CE235,CK235,CQ235,CW235,DC235,DI235,DO235)</f>
        <v>1</v>
      </c>
      <c r="DZ235" s="111">
        <f t="shared" si="529"/>
        <v>0</v>
      </c>
      <c r="EA235" s="110">
        <f t="shared" si="15"/>
        <v>47</v>
      </c>
      <c r="EB235" s="99" t="str">
        <f t="shared" si="16"/>
        <v>35 - 54</v>
      </c>
      <c r="EC235" s="112"/>
      <c r="ED235" s="113">
        <f t="shared" si="17"/>
        <v>4</v>
      </c>
      <c r="EE235" s="114" t="str">
        <f>IF(V235 &lt;&gt; "", 1+((V235-MIN(discount_rates))*(4)/(MAX(discount_rates) - MIN(discount_rates))), "")</f>
        <v/>
      </c>
      <c r="EF235" s="114" t="str">
        <f>IF(Q235="Debt", (1+((S235-MIN(interest_rates))*(4)/(MAX(interest_rates) - MIN(interest_rates)))), "")</f>
        <v/>
      </c>
      <c r="EG235" s="114" t="str">
        <f>IF(OR(Q235="Revenue Share", Q235="Profit Share"), (1+((R235-MIN(return_mutiples))*(4)/(MAX(return_mutiples) - MIN(return_mutiples)))), "")</f>
        <v/>
      </c>
      <c r="EH235" s="115">
        <f t="shared" si="18"/>
        <v>4</v>
      </c>
      <c r="EI235" s="116" t="str">
        <f t="shared" si="19"/>
        <v>Equity - Common</v>
      </c>
      <c r="EJ235" s="117">
        <f t="shared" si="20"/>
        <v>0.3287671233</v>
      </c>
      <c r="EK235" s="116" t="str">
        <f t="shared" si="21"/>
        <v>Early</v>
      </c>
      <c r="EL235" s="112"/>
      <c r="EM235" s="118">
        <f t="shared" si="22"/>
        <v>4.4</v>
      </c>
      <c r="EN235" s="118">
        <f t="shared" si="23"/>
        <v>1.7</v>
      </c>
      <c r="EO235" s="119">
        <f t="shared" si="24"/>
        <v>6.1</v>
      </c>
      <c r="EP235" s="115">
        <f>1+((EO235-MIN(market_ratings_sums))*(4)/(MAX(market_ratings_sums) - MIN(market_ratings_sums)))</f>
        <v>3.385964912</v>
      </c>
      <c r="EQ235" s="116" t="str">
        <f t="shared" si="25"/>
        <v>No</v>
      </c>
      <c r="ER235" s="112"/>
      <c r="ES235" s="123">
        <f>1+((DX235-MIN(industry_experiences))*(4)/(MAX(industry_experiences) - MIN(industry_experiences)))</f>
        <v>2.142857143</v>
      </c>
      <c r="ET235" s="123">
        <f>1+((DY235-MIN(previous_startups))*(4)/(MAX(previous_startups) - MIN(previous_startups)))</f>
        <v>1.444444444</v>
      </c>
      <c r="EU235" s="123">
        <f>1+((DZ235-MIN(exits))*(4)/(MAX(exits) - MIN(exits)))</f>
        <v>1</v>
      </c>
      <c r="EV235" s="119">
        <f t="shared" si="26"/>
        <v>4.587301587</v>
      </c>
      <c r="EW235" s="124">
        <f>1+((EV235-MIN(team_ratings_sums))*(4)/(MAX(team_ratings_sums) - MIN(team_ratings_sums)))</f>
        <v>1.869565217</v>
      </c>
      <c r="EX235" s="116" t="str">
        <f t="shared" si="27"/>
        <v>35 - 54</v>
      </c>
      <c r="EY235" s="125">
        <f t="shared" si="28"/>
        <v>0.6849315068</v>
      </c>
      <c r="EZ235" s="116">
        <f t="shared" si="29"/>
        <v>1</v>
      </c>
      <c r="FA235" s="125">
        <f t="shared" si="30"/>
        <v>0.4383561644</v>
      </c>
      <c r="FB235" s="116">
        <f t="shared" si="31"/>
        <v>1</v>
      </c>
      <c r="FC235" s="125">
        <f t="shared" si="32"/>
        <v>0.08219178082</v>
      </c>
      <c r="FD235" s="116" t="str">
        <f t="shared" si="33"/>
        <v>Yes</v>
      </c>
      <c r="FE235" s="125">
        <f t="shared" si="34"/>
        <v>0.2465753425</v>
      </c>
      <c r="FF235" s="116" t="str">
        <f t="shared" ref="FF235:FH235" si="530">BJ235</f>
        <v>No</v>
      </c>
      <c r="FG235" s="116" t="str">
        <f t="shared" si="530"/>
        <v>No</v>
      </c>
      <c r="FH235" s="116" t="str">
        <f t="shared" si="530"/>
        <v>No</v>
      </c>
      <c r="FI235" s="112"/>
      <c r="FJ235" s="116" t="str">
        <f t="shared" si="36"/>
        <v>Recurring</v>
      </c>
      <c r="FK235" s="125">
        <f t="shared" si="37"/>
        <v>0.397260274</v>
      </c>
      <c r="FL235" s="116" t="str">
        <f t="shared" si="38"/>
        <v>B2B/B2C</v>
      </c>
      <c r="FM235" s="125">
        <f t="shared" si="39"/>
        <v>0.3287671233</v>
      </c>
      <c r="FN235" s="116" t="str">
        <f t="shared" si="40"/>
        <v>High</v>
      </c>
      <c r="FO235" s="125">
        <f t="shared" si="41"/>
        <v>0.5616438356</v>
      </c>
      <c r="FP235" s="116" t="str">
        <f t="shared" si="42"/>
        <v>Low</v>
      </c>
      <c r="FQ235" s="125">
        <f t="shared" si="43"/>
        <v>0.3561643836</v>
      </c>
      <c r="FR235" s="112"/>
      <c r="FS235" s="123">
        <f t="shared" si="44"/>
        <v>5</v>
      </c>
      <c r="FT235" s="123">
        <f t="shared" si="45"/>
        <v>1.9</v>
      </c>
      <c r="FU235" s="123">
        <f t="shared" si="46"/>
        <v>1</v>
      </c>
      <c r="FV235" s="123">
        <f t="shared" si="47"/>
        <v>5</v>
      </c>
      <c r="FW235" s="119">
        <f t="shared" si="48"/>
        <v>12.9</v>
      </c>
      <c r="FX235" s="115">
        <f>1+((FW235-MIN(performance_ratings_sums))*(4)/(MAX(performance_ratings_sums) - MIN(performance_ratings_sums)))</f>
        <v>3.317757009</v>
      </c>
      <c r="FY235" s="116" t="str">
        <f t="shared" si="49"/>
        <v>Pre-Profit</v>
      </c>
      <c r="FZ235" s="126">
        <f t="shared" si="50"/>
        <v>0.4931506849</v>
      </c>
      <c r="GA235" s="112"/>
      <c r="GB235" s="127">
        <f t="shared" si="51"/>
        <v>3</v>
      </c>
      <c r="GC235" s="116" t="str">
        <f t="shared" si="52"/>
        <v>No</v>
      </c>
      <c r="GD235" s="126">
        <f t="shared" si="53"/>
        <v>0.7671232877</v>
      </c>
      <c r="GE235" s="126" t="str">
        <f t="shared" si="54"/>
        <v/>
      </c>
      <c r="GF235" s="126">
        <f t="shared" si="55"/>
        <v>0</v>
      </c>
      <c r="GG235" s="126" t="str">
        <f t="shared" si="56"/>
        <v/>
      </c>
      <c r="GH235" s="126">
        <f t="shared" si="57"/>
        <v>0</v>
      </c>
      <c r="GI235" s="112"/>
      <c r="GJ235" s="116"/>
      <c r="GK235" s="119">
        <f t="shared" si="58"/>
        <v>15.57328714</v>
      </c>
      <c r="GL235" s="128">
        <f>1+((GK235-MIN(ratings_sums))*(4)/(MAX(ratings_sums) - MIN(ratings_sums)))</f>
        <v>3.57110312</v>
      </c>
    </row>
    <row r="236" ht="15.75" customHeight="1">
      <c r="A236" s="161" t="s">
        <v>1128</v>
      </c>
      <c r="B236" s="15">
        <v>1707359.0</v>
      </c>
      <c r="C236" s="162" t="s">
        <v>1538</v>
      </c>
      <c r="D236" s="209">
        <v>43858.80625</v>
      </c>
      <c r="E236" s="15" t="s">
        <v>392</v>
      </c>
      <c r="F236" s="164" t="s">
        <v>1539</v>
      </c>
      <c r="G236" s="164" t="s">
        <v>1540</v>
      </c>
      <c r="H236" s="210">
        <v>43846.0</v>
      </c>
      <c r="I236" s="162" t="s">
        <v>1541</v>
      </c>
      <c r="J236" s="162" t="s">
        <v>1538</v>
      </c>
      <c r="K236" s="15" t="s">
        <v>457</v>
      </c>
      <c r="L236" s="15" t="s">
        <v>390</v>
      </c>
      <c r="M236" s="15" t="s">
        <v>81</v>
      </c>
      <c r="N236" s="15" t="s">
        <v>101</v>
      </c>
      <c r="O236" s="15" t="s">
        <v>35</v>
      </c>
      <c r="Q236" s="15" t="s">
        <v>195</v>
      </c>
      <c r="R236" s="166"/>
      <c r="S236" s="120"/>
      <c r="T236" s="69"/>
      <c r="U236" s="69">
        <v>6.5E7</v>
      </c>
      <c r="V236" s="132">
        <v>0.2</v>
      </c>
      <c r="W236" s="96">
        <f t="shared" si="125"/>
        <v>52000000</v>
      </c>
      <c r="X236" s="98">
        <f t="shared" si="126"/>
        <v>52000000</v>
      </c>
      <c r="Y236" s="99" t="str">
        <f t="shared" si="127"/>
        <v>&lt; $40M</v>
      </c>
      <c r="Z236" s="15" t="s">
        <v>36</v>
      </c>
      <c r="AA236" s="15" t="s">
        <v>87</v>
      </c>
      <c r="AB236" s="15" t="s">
        <v>38</v>
      </c>
      <c r="AC236" s="15" t="s">
        <v>493</v>
      </c>
      <c r="AD236" s="15" t="s">
        <v>89</v>
      </c>
      <c r="AE236" s="15" t="s">
        <v>89</v>
      </c>
      <c r="AF236" s="15" t="s">
        <v>469</v>
      </c>
      <c r="AG236" s="69">
        <v>1.735E12</v>
      </c>
      <c r="AH236" s="97" t="str">
        <f t="shared" si="128"/>
        <v>&gt; $1T</v>
      </c>
      <c r="AI236" s="69">
        <v>1.735E12</v>
      </c>
      <c r="AJ236" s="97" t="str">
        <f t="shared" si="129"/>
        <v>&gt; $1T</v>
      </c>
      <c r="AK236" s="167">
        <v>0.19</v>
      </c>
      <c r="AL236" s="88" t="str">
        <f t="shared" si="130"/>
        <v>10%-20%</v>
      </c>
      <c r="AM236" s="32">
        <v>6000.0</v>
      </c>
      <c r="AN236" s="15" t="s">
        <v>89</v>
      </c>
      <c r="AO236" s="15" t="s">
        <v>89</v>
      </c>
      <c r="AP236" s="15" t="s">
        <v>40</v>
      </c>
      <c r="AQ236" s="168"/>
      <c r="AR236" s="168"/>
      <c r="AS236" s="15" t="s">
        <v>469</v>
      </c>
      <c r="AT236" s="15" t="s">
        <v>469</v>
      </c>
      <c r="AU236" s="15" t="s">
        <v>493</v>
      </c>
      <c r="AV236" s="15" t="s">
        <v>493</v>
      </c>
      <c r="AW236" s="69">
        <v>6624934.0</v>
      </c>
      <c r="AX236" s="96" t="str">
        <f t="shared" si="131"/>
        <v>&gt; $5M</v>
      </c>
      <c r="AY236" s="69">
        <v>75739.0</v>
      </c>
      <c r="AZ236" s="69">
        <v>4035000.0</v>
      </c>
      <c r="BA236" s="103" t="str">
        <f t="shared" si="132"/>
        <v>$4M - $5M</v>
      </c>
      <c r="BB236" s="103">
        <f t="shared" si="133"/>
        <v>0.01877050805</v>
      </c>
      <c r="BC236" s="103" t="str">
        <f t="shared" si="134"/>
        <v>&lt; 10%</v>
      </c>
      <c r="BD236" s="15" t="s">
        <v>107</v>
      </c>
      <c r="BF236" s="15" t="s">
        <v>469</v>
      </c>
      <c r="BG236" s="15">
        <v>0.0</v>
      </c>
      <c r="BH236" s="15">
        <v>3.0</v>
      </c>
      <c r="BI236" s="15" t="s">
        <v>493</v>
      </c>
      <c r="BJ236" s="15" t="s">
        <v>469</v>
      </c>
      <c r="BK236" s="15" t="s">
        <v>469</v>
      </c>
      <c r="BL236" s="15" t="s">
        <v>469</v>
      </c>
      <c r="BM236" s="15">
        <v>7.0</v>
      </c>
      <c r="BN236" s="15">
        <v>20.0</v>
      </c>
      <c r="BO236" s="15">
        <v>0.0</v>
      </c>
      <c r="BP236" s="15">
        <v>0.0</v>
      </c>
      <c r="BQ236" s="108"/>
      <c r="BR236" s="15">
        <v>6.0</v>
      </c>
      <c r="BS236" s="15">
        <v>4.0</v>
      </c>
      <c r="BT236" s="15">
        <v>0.0</v>
      </c>
      <c r="BU236" s="15">
        <v>42.0</v>
      </c>
      <c r="BV236" s="15" t="s">
        <v>469</v>
      </c>
      <c r="BW236" s="108"/>
      <c r="BX236" s="15">
        <v>12.0</v>
      </c>
      <c r="BY236" s="15">
        <v>3.0</v>
      </c>
      <c r="BZ236" s="15">
        <v>1.0</v>
      </c>
      <c r="CA236" s="15">
        <v>48.0</v>
      </c>
      <c r="CB236" s="15" t="s">
        <v>493</v>
      </c>
      <c r="CC236" s="108"/>
      <c r="CD236" s="15">
        <v>3.0</v>
      </c>
      <c r="CE236" s="15">
        <v>0.0</v>
      </c>
      <c r="CF236" s="15">
        <v>0.0</v>
      </c>
      <c r="CG236" s="15">
        <v>37.0</v>
      </c>
      <c r="CH236" s="15" t="s">
        <v>469</v>
      </c>
      <c r="CI236" s="108"/>
      <c r="CO236" s="108"/>
      <c r="CU236" s="108"/>
      <c r="DA236" s="108"/>
      <c r="DG236" s="108"/>
      <c r="DM236" s="108"/>
      <c r="DS236" s="108"/>
      <c r="DT236" s="108"/>
      <c r="DU236" s="108"/>
      <c r="DW236" s="109"/>
      <c r="DX236" s="110">
        <f t="shared" si="13"/>
        <v>7</v>
      </c>
      <c r="DY236" s="111">
        <f t="shared" ref="DY236:DZ236" si="531">sum(BS236,BY236,CE236,CK236,CQ236,CW236,DC236,DI236,DO236)</f>
        <v>7</v>
      </c>
      <c r="DZ236" s="111">
        <f t="shared" si="531"/>
        <v>1</v>
      </c>
      <c r="EA236" s="110">
        <f t="shared" si="15"/>
        <v>42.33333333</v>
      </c>
      <c r="EB236" s="99" t="str">
        <f t="shared" si="16"/>
        <v>35 - 54</v>
      </c>
      <c r="EC236" s="112"/>
      <c r="ED236" s="113">
        <f t="shared" si="17"/>
        <v>1</v>
      </c>
      <c r="EE236" s="114">
        <f>IF(V236 &lt;&gt; "", 1+((V236-MIN(discount_rates))*(4)/(MAX(discount_rates) - MIN(discount_rates))), "")</f>
        <v>3.105263158</v>
      </c>
      <c r="EF236" s="114" t="str">
        <f>IF(Q236="Debt", (1+((S236-MIN(interest_rates))*(4)/(MAX(interest_rates) - MIN(interest_rates)))), "")</f>
        <v/>
      </c>
      <c r="EG236" s="114" t="str">
        <f>IF(OR(Q236="Revenue Share", Q236="Profit Share"), (1+((R236-MIN(return_mutiples))*(4)/(MAX(return_mutiples) - MIN(return_mutiples)))), "")</f>
        <v/>
      </c>
      <c r="EH236" s="115">
        <f t="shared" si="18"/>
        <v>1</v>
      </c>
      <c r="EI236" s="116" t="str">
        <f t="shared" si="19"/>
        <v>SAFE</v>
      </c>
      <c r="EJ236" s="117">
        <f t="shared" si="20"/>
        <v>0.3561643836</v>
      </c>
      <c r="EK236" s="116" t="str">
        <f t="shared" si="21"/>
        <v>Growth</v>
      </c>
      <c r="EL236" s="112"/>
      <c r="EM236" s="118">
        <f t="shared" si="22"/>
        <v>5</v>
      </c>
      <c r="EN236" s="118">
        <f t="shared" si="23"/>
        <v>2.3</v>
      </c>
      <c r="EO236" s="119">
        <f t="shared" si="24"/>
        <v>7.3</v>
      </c>
      <c r="EP236" s="115">
        <f>1+((EO236-MIN(market_ratings_sums))*(4)/(MAX(market_ratings_sums) - MIN(market_ratings_sums)))</f>
        <v>4.228070175</v>
      </c>
      <c r="EQ236" s="116" t="str">
        <f t="shared" si="25"/>
        <v>No</v>
      </c>
      <c r="ER236" s="112"/>
      <c r="ES236" s="123">
        <f>1+((DX236-MIN(industry_experiences))*(4)/(MAX(industry_experiences) - MIN(industry_experiences)))</f>
        <v>1.666666667</v>
      </c>
      <c r="ET236" s="123">
        <f>1+((DY236-MIN(previous_startups))*(4)/(MAX(previous_startups) - MIN(previous_startups)))</f>
        <v>4.111111111</v>
      </c>
      <c r="EU236" s="123">
        <f>1+((DZ236-MIN(exits))*(4)/(MAX(exits) - MIN(exits)))</f>
        <v>2</v>
      </c>
      <c r="EV236" s="119">
        <f t="shared" si="26"/>
        <v>7.777777778</v>
      </c>
      <c r="EW236" s="124">
        <f>1+((EV236-MIN(team_ratings_sums))*(4)/(MAX(team_ratings_sums) - MIN(team_ratings_sums)))</f>
        <v>3.617391304</v>
      </c>
      <c r="EX236" s="116" t="str">
        <f t="shared" si="27"/>
        <v>35 - 54</v>
      </c>
      <c r="EY236" s="125">
        <f t="shared" si="28"/>
        <v>0.6849315068</v>
      </c>
      <c r="EZ236" s="116">
        <f t="shared" si="29"/>
        <v>3</v>
      </c>
      <c r="FA236" s="125">
        <f t="shared" si="30"/>
        <v>0.05479452055</v>
      </c>
      <c r="FB236" s="116">
        <f t="shared" si="31"/>
        <v>20</v>
      </c>
      <c r="FC236" s="125">
        <f t="shared" si="32"/>
        <v>0.01369863014</v>
      </c>
      <c r="FD236" s="116" t="str">
        <f t="shared" si="33"/>
        <v>Yes</v>
      </c>
      <c r="FE236" s="125">
        <f t="shared" si="34"/>
        <v>0.2465753425</v>
      </c>
      <c r="FF236" s="116" t="str">
        <f t="shared" ref="FF236:FH236" si="532">BJ236</f>
        <v>No</v>
      </c>
      <c r="FG236" s="116" t="str">
        <f t="shared" si="532"/>
        <v>No</v>
      </c>
      <c r="FH236" s="116" t="str">
        <f t="shared" si="532"/>
        <v>No</v>
      </c>
      <c r="FI236" s="112"/>
      <c r="FJ236" s="116" t="str">
        <f t="shared" si="36"/>
        <v>Transactional</v>
      </c>
      <c r="FK236" s="125">
        <f t="shared" si="37"/>
        <v>0.602739726</v>
      </c>
      <c r="FL236" s="116" t="str">
        <f t="shared" si="38"/>
        <v>B2C</v>
      </c>
      <c r="FM236" s="125">
        <f t="shared" si="39"/>
        <v>0.397260274</v>
      </c>
      <c r="FN236" s="116" t="str">
        <f t="shared" si="40"/>
        <v>Low</v>
      </c>
      <c r="FO236" s="125">
        <f t="shared" si="41"/>
        <v>0.4383561644</v>
      </c>
      <c r="FP236" s="116" t="str">
        <f t="shared" si="42"/>
        <v>Low</v>
      </c>
      <c r="FQ236" s="125">
        <f t="shared" si="43"/>
        <v>0.3561643836</v>
      </c>
      <c r="FR236" s="112"/>
      <c r="FS236" s="123">
        <f t="shared" si="44"/>
        <v>5</v>
      </c>
      <c r="FT236" s="123">
        <f t="shared" si="45"/>
        <v>5</v>
      </c>
      <c r="FU236" s="123">
        <f t="shared" si="46"/>
        <v>5</v>
      </c>
      <c r="FV236" s="123">
        <f t="shared" si="47"/>
        <v>1.4</v>
      </c>
      <c r="FW236" s="119">
        <f t="shared" si="48"/>
        <v>16.4</v>
      </c>
      <c r="FX236" s="115">
        <f>1+((FW236-MIN(performance_ratings_sums))*(4)/(MAX(performance_ratings_sums) - MIN(performance_ratings_sums)))</f>
        <v>4.626168224</v>
      </c>
      <c r="FY236" s="116" t="str">
        <f t="shared" si="49"/>
        <v>Pre-Profit</v>
      </c>
      <c r="FZ236" s="126">
        <f t="shared" si="50"/>
        <v>0.4931506849</v>
      </c>
      <c r="GA236" s="112"/>
      <c r="GB236" s="127">
        <f t="shared" si="51"/>
        <v>1</v>
      </c>
      <c r="GC236" s="116" t="str">
        <f t="shared" si="52"/>
        <v>No</v>
      </c>
      <c r="GD236" s="126">
        <f t="shared" si="53"/>
        <v>0.7671232877</v>
      </c>
      <c r="GE236" s="126" t="str">
        <f t="shared" si="54"/>
        <v/>
      </c>
      <c r="GF236" s="126">
        <f t="shared" si="55"/>
        <v>0</v>
      </c>
      <c r="GG236" s="126" t="str">
        <f t="shared" si="56"/>
        <v/>
      </c>
      <c r="GH236" s="126">
        <f t="shared" si="57"/>
        <v>0</v>
      </c>
      <c r="GI236" s="112"/>
      <c r="GJ236" s="116"/>
      <c r="GK236" s="119">
        <f t="shared" si="58"/>
        <v>14.4716297</v>
      </c>
      <c r="GL236" s="128">
        <f>1+((GK236-MIN(ratings_sums))*(4)/(MAX(ratings_sums) - MIN(ratings_sums)))</f>
        <v>3.233070588</v>
      </c>
    </row>
    <row r="237" ht="15.75" customHeight="1">
      <c r="A237" s="161" t="s">
        <v>1128</v>
      </c>
      <c r="B237" s="15">
        <v>1798296.0</v>
      </c>
      <c r="C237" s="162" t="s">
        <v>1542</v>
      </c>
      <c r="D237" s="209">
        <v>43858.81041666667</v>
      </c>
      <c r="E237" s="15" t="s">
        <v>230</v>
      </c>
      <c r="F237" s="164" t="s">
        <v>1543</v>
      </c>
      <c r="G237" s="164" t="s">
        <v>1544</v>
      </c>
      <c r="H237" s="210">
        <v>43853.0</v>
      </c>
      <c r="I237" s="162" t="s">
        <v>1545</v>
      </c>
      <c r="J237" s="162"/>
      <c r="K237" s="15" t="s">
        <v>490</v>
      </c>
      <c r="L237" s="15" t="s">
        <v>362</v>
      </c>
      <c r="M237" s="15" t="s">
        <v>31</v>
      </c>
      <c r="N237" s="15" t="s">
        <v>101</v>
      </c>
      <c r="O237" s="15" t="s">
        <v>35</v>
      </c>
      <c r="Q237" s="15" t="s">
        <v>121</v>
      </c>
      <c r="R237" s="166"/>
      <c r="S237" s="120"/>
      <c r="T237" s="69">
        <v>1.835E7</v>
      </c>
      <c r="U237" s="69"/>
      <c r="V237" s="132"/>
      <c r="W237" s="96" t="str">
        <f t="shared" si="125"/>
        <v/>
      </c>
      <c r="X237" s="98">
        <f t="shared" si="126"/>
        <v>18350000</v>
      </c>
      <c r="Y237" s="99" t="str">
        <f t="shared" si="127"/>
        <v>$18M - $20M</v>
      </c>
      <c r="Z237" s="15" t="s">
        <v>36</v>
      </c>
      <c r="AA237" s="15" t="s">
        <v>123</v>
      </c>
      <c r="AB237" s="15" t="s">
        <v>38</v>
      </c>
      <c r="AC237" s="15" t="s">
        <v>493</v>
      </c>
      <c r="AD237" s="15" t="s">
        <v>39</v>
      </c>
      <c r="AE237" s="15" t="s">
        <v>89</v>
      </c>
      <c r="AF237" s="15" t="s">
        <v>469</v>
      </c>
      <c r="AG237" s="69">
        <v>9.956E9</v>
      </c>
      <c r="AH237" s="97" t="str">
        <f t="shared" si="128"/>
        <v>$5B-$10B</v>
      </c>
      <c r="AI237" s="69">
        <v>9.956E9</v>
      </c>
      <c r="AJ237" s="97" t="str">
        <f t="shared" si="129"/>
        <v>$5B-$10B</v>
      </c>
      <c r="AK237" s="167">
        <v>0.09</v>
      </c>
      <c r="AL237" s="88" t="str">
        <f t="shared" si="130"/>
        <v>0%-10%</v>
      </c>
      <c r="AM237" s="15">
        <v>200.0</v>
      </c>
      <c r="AN237" s="15" t="s">
        <v>89</v>
      </c>
      <c r="AO237" s="15" t="s">
        <v>89</v>
      </c>
      <c r="AP237" s="15" t="s">
        <v>90</v>
      </c>
      <c r="AQ237" s="168"/>
      <c r="AR237" s="168"/>
      <c r="AS237" s="15" t="s">
        <v>469</v>
      </c>
      <c r="AT237" s="15" t="s">
        <v>493</v>
      </c>
      <c r="AU237" s="15" t="s">
        <v>493</v>
      </c>
      <c r="AV237" s="15" t="s">
        <v>493</v>
      </c>
      <c r="AW237" s="69">
        <v>33600.0</v>
      </c>
      <c r="AX237" s="96" t="str">
        <f t="shared" si="131"/>
        <v>$10K - $50K</v>
      </c>
      <c r="AY237" s="69">
        <v>83134.0</v>
      </c>
      <c r="AZ237" s="69">
        <v>5831485.0</v>
      </c>
      <c r="BA237" s="103" t="str">
        <f t="shared" si="132"/>
        <v>&gt; $5M</v>
      </c>
      <c r="BB237" s="103">
        <f t="shared" si="133"/>
        <v>0.01425605999</v>
      </c>
      <c r="BC237" s="103" t="str">
        <f t="shared" si="134"/>
        <v>&lt; 10%</v>
      </c>
      <c r="BD237" s="15" t="s">
        <v>107</v>
      </c>
      <c r="BF237" s="15" t="s">
        <v>469</v>
      </c>
      <c r="BG237" s="15">
        <v>0.0</v>
      </c>
      <c r="BH237" s="15">
        <v>1.0</v>
      </c>
      <c r="BI237" s="15" t="s">
        <v>493</v>
      </c>
      <c r="BJ237" s="15" t="s">
        <v>493</v>
      </c>
      <c r="BK237" s="15" t="s">
        <v>493</v>
      </c>
      <c r="BL237" s="15" t="s">
        <v>469</v>
      </c>
      <c r="BM237" s="15">
        <v>2.0</v>
      </c>
      <c r="BN237" s="15">
        <v>2.0</v>
      </c>
      <c r="BO237" s="15">
        <v>1.0</v>
      </c>
      <c r="BP237" s="15">
        <v>0.0</v>
      </c>
      <c r="BQ237" s="108"/>
      <c r="BR237" s="15">
        <v>12.0</v>
      </c>
      <c r="BS237" s="15">
        <v>1.0</v>
      </c>
      <c r="BT237" s="15">
        <v>0.0</v>
      </c>
      <c r="BU237" s="15">
        <v>74.0</v>
      </c>
      <c r="BV237" s="15" t="s">
        <v>493</v>
      </c>
      <c r="BW237" s="108"/>
      <c r="CC237" s="108"/>
      <c r="CI237" s="108"/>
      <c r="CO237" s="108"/>
      <c r="CU237" s="108"/>
      <c r="DA237" s="108"/>
      <c r="DG237" s="108"/>
      <c r="DM237" s="108"/>
      <c r="DS237" s="108"/>
      <c r="DT237" s="108"/>
      <c r="DU237" s="108"/>
      <c r="DW237" s="109"/>
      <c r="DX237" s="110">
        <f t="shared" si="13"/>
        <v>12</v>
      </c>
      <c r="DY237" s="111">
        <f t="shared" ref="DY237:DZ237" si="533">sum(BS237,BY237,CE237,CK237,CQ237,CW237,DC237,DI237,DO237)</f>
        <v>1</v>
      </c>
      <c r="DZ237" s="111">
        <f t="shared" si="533"/>
        <v>0</v>
      </c>
      <c r="EA237" s="110">
        <f t="shared" si="15"/>
        <v>74</v>
      </c>
      <c r="EB237" s="99" t="str">
        <f t="shared" si="16"/>
        <v>55+</v>
      </c>
      <c r="EC237" s="112"/>
      <c r="ED237" s="113">
        <f t="shared" si="17"/>
        <v>3.1</v>
      </c>
      <c r="EE237" s="114" t="str">
        <f>IF(V237 &lt;&gt; "", 1+((V237-MIN(discount_rates))*(4)/(MAX(discount_rates) - MIN(discount_rates))), "")</f>
        <v/>
      </c>
      <c r="EF237" s="114" t="str">
        <f>IF(Q237="Debt", (1+((S237-MIN(interest_rates))*(4)/(MAX(interest_rates) - MIN(interest_rates)))), "")</f>
        <v/>
      </c>
      <c r="EG237" s="114" t="str">
        <f>IF(OR(Q237="Revenue Share", Q237="Profit Share"), (1+((R237-MIN(return_mutiples))*(4)/(MAX(return_mutiples) - MIN(return_mutiples)))), "")</f>
        <v/>
      </c>
      <c r="EH237" s="115">
        <f t="shared" si="18"/>
        <v>3.1</v>
      </c>
      <c r="EI237" s="116" t="str">
        <f t="shared" si="19"/>
        <v>Equity - Common</v>
      </c>
      <c r="EJ237" s="117">
        <f t="shared" si="20"/>
        <v>0.3287671233</v>
      </c>
      <c r="EK237" s="116" t="str">
        <f t="shared" si="21"/>
        <v>Early</v>
      </c>
      <c r="EL237" s="112"/>
      <c r="EM237" s="118">
        <f t="shared" si="22"/>
        <v>3</v>
      </c>
      <c r="EN237" s="118">
        <f t="shared" si="23"/>
        <v>1.7</v>
      </c>
      <c r="EO237" s="119">
        <f t="shared" si="24"/>
        <v>4.7</v>
      </c>
      <c r="EP237" s="115">
        <f>1+((EO237-MIN(market_ratings_sums))*(4)/(MAX(market_ratings_sums) - MIN(market_ratings_sums)))</f>
        <v>2.403508772</v>
      </c>
      <c r="EQ237" s="116" t="str">
        <f t="shared" si="25"/>
        <v>No</v>
      </c>
      <c r="ER237" s="112"/>
      <c r="ES237" s="123">
        <f>1+((DX237-MIN(industry_experiences))*(4)/(MAX(industry_experiences) - MIN(industry_experiences)))</f>
        <v>2.142857143</v>
      </c>
      <c r="ET237" s="123">
        <f>1+((DY237-MIN(previous_startups))*(4)/(MAX(previous_startups) - MIN(previous_startups)))</f>
        <v>1.444444444</v>
      </c>
      <c r="EU237" s="123">
        <f>1+((DZ237-MIN(exits))*(4)/(MAX(exits) - MIN(exits)))</f>
        <v>1</v>
      </c>
      <c r="EV237" s="119">
        <f t="shared" si="26"/>
        <v>4.587301587</v>
      </c>
      <c r="EW237" s="124">
        <f>1+((EV237-MIN(team_ratings_sums))*(4)/(MAX(team_ratings_sums) - MIN(team_ratings_sums)))</f>
        <v>1.869565217</v>
      </c>
      <c r="EX237" s="116" t="str">
        <f t="shared" si="27"/>
        <v>55+</v>
      </c>
      <c r="EY237" s="125">
        <f t="shared" si="28"/>
        <v>0.1095890411</v>
      </c>
      <c r="EZ237" s="116">
        <f t="shared" si="29"/>
        <v>1</v>
      </c>
      <c r="FA237" s="125">
        <f t="shared" si="30"/>
        <v>0.4383561644</v>
      </c>
      <c r="FB237" s="116">
        <f t="shared" si="31"/>
        <v>2</v>
      </c>
      <c r="FC237" s="125">
        <f t="shared" si="32"/>
        <v>0.1369863014</v>
      </c>
      <c r="FD237" s="116" t="str">
        <f t="shared" si="33"/>
        <v>Yes</v>
      </c>
      <c r="FE237" s="125">
        <f t="shared" si="34"/>
        <v>0.2465753425</v>
      </c>
      <c r="FF237" s="116" t="str">
        <f t="shared" ref="FF237:FH237" si="534">BJ237</f>
        <v>Yes</v>
      </c>
      <c r="FG237" s="116" t="str">
        <f t="shared" si="534"/>
        <v>Yes</v>
      </c>
      <c r="FH237" s="116" t="str">
        <f t="shared" si="534"/>
        <v>No</v>
      </c>
      <c r="FI237" s="112"/>
      <c r="FJ237" s="116" t="str">
        <f t="shared" si="36"/>
        <v>Transactional</v>
      </c>
      <c r="FK237" s="125">
        <f t="shared" si="37"/>
        <v>0.602739726</v>
      </c>
      <c r="FL237" s="116" t="str">
        <f t="shared" si="38"/>
        <v>B2B/B2C</v>
      </c>
      <c r="FM237" s="125">
        <f t="shared" si="39"/>
        <v>0.3287671233</v>
      </c>
      <c r="FN237" s="116" t="str">
        <f t="shared" si="40"/>
        <v>High</v>
      </c>
      <c r="FO237" s="125">
        <f t="shared" si="41"/>
        <v>0.5616438356</v>
      </c>
      <c r="FP237" s="116" t="str">
        <f t="shared" si="42"/>
        <v>Low</v>
      </c>
      <c r="FQ237" s="125">
        <f t="shared" si="43"/>
        <v>0.3561643836</v>
      </c>
      <c r="FR237" s="112"/>
      <c r="FS237" s="123">
        <f t="shared" si="44"/>
        <v>5</v>
      </c>
      <c r="FT237" s="123">
        <f t="shared" si="45"/>
        <v>1.4</v>
      </c>
      <c r="FU237" s="123">
        <f t="shared" si="46"/>
        <v>5</v>
      </c>
      <c r="FV237" s="123">
        <f t="shared" si="47"/>
        <v>1</v>
      </c>
      <c r="FW237" s="119">
        <f t="shared" si="48"/>
        <v>12.4</v>
      </c>
      <c r="FX237" s="115">
        <f>1+((FW237-MIN(performance_ratings_sums))*(4)/(MAX(performance_ratings_sums) - MIN(performance_ratings_sums)))</f>
        <v>3.130841121</v>
      </c>
      <c r="FY237" s="116" t="str">
        <f t="shared" si="49"/>
        <v>Pre-Profit</v>
      </c>
      <c r="FZ237" s="126">
        <f t="shared" si="50"/>
        <v>0.4931506849</v>
      </c>
      <c r="GA237" s="112"/>
      <c r="GB237" s="127">
        <f t="shared" si="51"/>
        <v>1</v>
      </c>
      <c r="GC237" s="116" t="str">
        <f t="shared" si="52"/>
        <v>Yes</v>
      </c>
      <c r="GD237" s="126">
        <f t="shared" si="53"/>
        <v>0.2328767123</v>
      </c>
      <c r="GE237" s="126" t="str">
        <f t="shared" si="54"/>
        <v/>
      </c>
      <c r="GF237" s="126">
        <f t="shared" si="55"/>
        <v>0</v>
      </c>
      <c r="GG237" s="126" t="str">
        <f t="shared" si="56"/>
        <v/>
      </c>
      <c r="GH237" s="126">
        <f t="shared" si="57"/>
        <v>0</v>
      </c>
      <c r="GI237" s="112"/>
      <c r="GJ237" s="116"/>
      <c r="GK237" s="119">
        <f t="shared" si="58"/>
        <v>11.50391511</v>
      </c>
      <c r="GL237" s="128">
        <f>1+((GK237-MIN(ratings_sums))*(4)/(MAX(ratings_sums) - MIN(ratings_sums)))</f>
        <v>2.322457139</v>
      </c>
    </row>
    <row r="238" ht="15.75" customHeight="1">
      <c r="A238" s="161" t="s">
        <v>1128</v>
      </c>
      <c r="B238" s="15">
        <v>1737259.0</v>
      </c>
      <c r="C238" s="162" t="s">
        <v>1546</v>
      </c>
      <c r="D238" s="209">
        <v>43858.81319444445</v>
      </c>
      <c r="E238" s="15" t="s">
        <v>230</v>
      </c>
      <c r="F238" s="164" t="s">
        <v>1547</v>
      </c>
      <c r="G238" s="164" t="s">
        <v>1548</v>
      </c>
      <c r="H238" s="210">
        <v>43851.0</v>
      </c>
      <c r="I238" s="162" t="s">
        <v>1549</v>
      </c>
      <c r="J238" s="162" t="s">
        <v>1546</v>
      </c>
      <c r="K238" s="15" t="s">
        <v>448</v>
      </c>
      <c r="L238" s="15" t="s">
        <v>390</v>
      </c>
      <c r="M238" s="15" t="s">
        <v>31</v>
      </c>
      <c r="N238" s="15" t="s">
        <v>82</v>
      </c>
      <c r="O238" s="15" t="s">
        <v>35</v>
      </c>
      <c r="P238" s="15" t="s">
        <v>104</v>
      </c>
      <c r="Q238" s="15" t="s">
        <v>121</v>
      </c>
      <c r="R238" s="166"/>
      <c r="S238" s="120"/>
      <c r="T238" s="69">
        <v>1.0E7</v>
      </c>
      <c r="U238" s="69"/>
      <c r="V238" s="132"/>
      <c r="W238" s="96" t="str">
        <f t="shared" si="125"/>
        <v/>
      </c>
      <c r="X238" s="98">
        <f t="shared" si="126"/>
        <v>10000000</v>
      </c>
      <c r="Y238" s="99" t="str">
        <f t="shared" si="127"/>
        <v>$8M - $10M</v>
      </c>
      <c r="Z238" s="15" t="s">
        <v>36</v>
      </c>
      <c r="AA238" s="15" t="s">
        <v>37</v>
      </c>
      <c r="AB238" s="15" t="s">
        <v>38</v>
      </c>
      <c r="AC238" s="15" t="s">
        <v>493</v>
      </c>
      <c r="AD238" s="15" t="s">
        <v>89</v>
      </c>
      <c r="AE238" s="15" t="s">
        <v>89</v>
      </c>
      <c r="AF238" s="15" t="s">
        <v>469</v>
      </c>
      <c r="AG238" s="69">
        <v>1.395E11</v>
      </c>
      <c r="AH238" s="97" t="str">
        <f t="shared" si="128"/>
        <v>$100B-$250B</v>
      </c>
      <c r="AI238" s="69">
        <v>1.395E11</v>
      </c>
      <c r="AJ238" s="97" t="str">
        <f t="shared" si="129"/>
        <v>$100B-$250B</v>
      </c>
      <c r="AK238" s="167">
        <v>0.05</v>
      </c>
      <c r="AL238" s="88" t="str">
        <f t="shared" si="130"/>
        <v>0%-10%</v>
      </c>
      <c r="AM238" s="32">
        <v>7363.0</v>
      </c>
      <c r="AN238" s="15" t="s">
        <v>89</v>
      </c>
      <c r="AO238" s="15" t="s">
        <v>89</v>
      </c>
      <c r="AP238" s="15" t="s">
        <v>40</v>
      </c>
      <c r="AQ238" s="168"/>
      <c r="AR238" s="168"/>
      <c r="AS238" s="15" t="s">
        <v>469</v>
      </c>
      <c r="AT238" s="15" t="s">
        <v>469</v>
      </c>
      <c r="AU238" s="15" t="s">
        <v>493</v>
      </c>
      <c r="AV238" s="15" t="s">
        <v>493</v>
      </c>
      <c r="AW238" s="69">
        <v>2400.0</v>
      </c>
      <c r="AX238" s="96" t="str">
        <f t="shared" si="131"/>
        <v>&lt; $10K</v>
      </c>
      <c r="AY238" s="69">
        <v>1173.0</v>
      </c>
      <c r="AZ238" s="69">
        <v>86793.0</v>
      </c>
      <c r="BA238" s="103" t="str">
        <f t="shared" si="132"/>
        <v>$50K - $100K</v>
      </c>
      <c r="BB238" s="103">
        <f t="shared" si="133"/>
        <v>0.0135149148</v>
      </c>
      <c r="BC238" s="103" t="str">
        <f t="shared" si="134"/>
        <v>&lt; 10%</v>
      </c>
      <c r="BD238" s="15" t="s">
        <v>107</v>
      </c>
      <c r="BF238" s="15" t="s">
        <v>493</v>
      </c>
      <c r="BG238" s="15">
        <v>0.0</v>
      </c>
      <c r="BH238" s="15">
        <v>1.0</v>
      </c>
      <c r="BI238" s="15" t="s">
        <v>469</v>
      </c>
      <c r="BJ238" s="15" t="s">
        <v>493</v>
      </c>
      <c r="BK238" s="15" t="s">
        <v>469</v>
      </c>
      <c r="BL238" s="15" t="s">
        <v>469</v>
      </c>
      <c r="BM238" s="15">
        <v>0.0</v>
      </c>
      <c r="BN238" s="15">
        <v>1.0</v>
      </c>
      <c r="BO238" s="15">
        <v>0.0</v>
      </c>
      <c r="BP238" s="15">
        <v>0.0</v>
      </c>
      <c r="BQ238" s="108"/>
      <c r="BR238" s="15">
        <v>0.0</v>
      </c>
      <c r="BS238" s="15">
        <v>0.0</v>
      </c>
      <c r="BT238" s="15">
        <v>0.0</v>
      </c>
      <c r="BU238" s="15">
        <v>42.0</v>
      </c>
      <c r="BV238" s="15" t="s">
        <v>469</v>
      </c>
      <c r="BW238" s="108"/>
      <c r="CC238" s="108"/>
      <c r="CI238" s="108"/>
      <c r="CO238" s="108"/>
      <c r="CU238" s="108"/>
      <c r="DA238" s="108"/>
      <c r="DG238" s="108"/>
      <c r="DM238" s="108"/>
      <c r="DS238" s="108"/>
      <c r="DT238" s="108"/>
      <c r="DU238" s="108"/>
      <c r="DW238" s="109"/>
      <c r="DX238" s="110">
        <f t="shared" si="13"/>
        <v>0</v>
      </c>
      <c r="DY238" s="111">
        <f t="shared" ref="DY238:DZ238" si="535">sum(BS238,BY238,CE238,CK238,CQ238,CW238,DC238,DI238,DO238)</f>
        <v>0</v>
      </c>
      <c r="DZ238" s="111">
        <f t="shared" si="535"/>
        <v>0</v>
      </c>
      <c r="EA238" s="110">
        <f t="shared" si="15"/>
        <v>42</v>
      </c>
      <c r="EB238" s="99" t="str">
        <f t="shared" si="16"/>
        <v>35 - 54</v>
      </c>
      <c r="EC238" s="112"/>
      <c r="ED238" s="113">
        <f t="shared" si="17"/>
        <v>4</v>
      </c>
      <c r="EE238" s="114" t="str">
        <f>IF(V238 &lt;&gt; "", 1+((V238-MIN(discount_rates))*(4)/(MAX(discount_rates) - MIN(discount_rates))), "")</f>
        <v/>
      </c>
      <c r="EF238" s="114" t="str">
        <f>IF(Q238="Debt", (1+((S238-MIN(interest_rates))*(4)/(MAX(interest_rates) - MIN(interest_rates)))), "")</f>
        <v/>
      </c>
      <c r="EG238" s="114" t="str">
        <f>IF(OR(Q238="Revenue Share", Q238="Profit Share"), (1+((R238-MIN(return_mutiples))*(4)/(MAX(return_mutiples) - MIN(return_mutiples)))), "")</f>
        <v/>
      </c>
      <c r="EH238" s="115">
        <f t="shared" si="18"/>
        <v>4</v>
      </c>
      <c r="EI238" s="116" t="str">
        <f t="shared" si="19"/>
        <v>Equity - Common</v>
      </c>
      <c r="EJ238" s="117">
        <f t="shared" si="20"/>
        <v>0.3287671233</v>
      </c>
      <c r="EK238" s="116" t="str">
        <f t="shared" si="21"/>
        <v>Early</v>
      </c>
      <c r="EL238" s="112"/>
      <c r="EM238" s="118">
        <f t="shared" si="22"/>
        <v>4.1</v>
      </c>
      <c r="EN238" s="118">
        <f t="shared" si="23"/>
        <v>1.7</v>
      </c>
      <c r="EO238" s="119">
        <f t="shared" si="24"/>
        <v>5.8</v>
      </c>
      <c r="EP238" s="115">
        <f>1+((EO238-MIN(market_ratings_sums))*(4)/(MAX(market_ratings_sums) - MIN(market_ratings_sums)))</f>
        <v>3.175438596</v>
      </c>
      <c r="EQ238" s="116" t="str">
        <f t="shared" si="25"/>
        <v>No</v>
      </c>
      <c r="ER238" s="112"/>
      <c r="ES238" s="123">
        <f>1+((DX238-MIN(industry_experiences))*(4)/(MAX(industry_experiences) - MIN(industry_experiences)))</f>
        <v>1</v>
      </c>
      <c r="ET238" s="123">
        <f>1+((DY238-MIN(previous_startups))*(4)/(MAX(previous_startups) - MIN(previous_startups)))</f>
        <v>1</v>
      </c>
      <c r="EU238" s="123">
        <f>1+((DZ238-MIN(exits))*(4)/(MAX(exits) - MIN(exits)))</f>
        <v>1</v>
      </c>
      <c r="EV238" s="119">
        <f t="shared" si="26"/>
        <v>3</v>
      </c>
      <c r="EW238" s="124">
        <f>1+((EV238-MIN(team_ratings_sums))*(4)/(MAX(team_ratings_sums) - MIN(team_ratings_sums)))</f>
        <v>1</v>
      </c>
      <c r="EX238" s="116" t="str">
        <f t="shared" si="27"/>
        <v>35 - 54</v>
      </c>
      <c r="EY238" s="125">
        <f t="shared" si="28"/>
        <v>0.6849315068</v>
      </c>
      <c r="EZ238" s="116">
        <f t="shared" si="29"/>
        <v>1</v>
      </c>
      <c r="FA238" s="125">
        <f t="shared" si="30"/>
        <v>0.4383561644</v>
      </c>
      <c r="FB238" s="116">
        <f t="shared" si="31"/>
        <v>1</v>
      </c>
      <c r="FC238" s="125">
        <f t="shared" si="32"/>
        <v>0.08219178082</v>
      </c>
      <c r="FD238" s="116" t="str">
        <f t="shared" si="33"/>
        <v>No</v>
      </c>
      <c r="FE238" s="125">
        <f t="shared" si="34"/>
        <v>0.7534246575</v>
      </c>
      <c r="FF238" s="116" t="str">
        <f t="shared" ref="FF238:FH238" si="536">BJ238</f>
        <v>Yes</v>
      </c>
      <c r="FG238" s="116" t="str">
        <f t="shared" si="536"/>
        <v>No</v>
      </c>
      <c r="FH238" s="116" t="str">
        <f t="shared" si="536"/>
        <v>No</v>
      </c>
      <c r="FI238" s="112"/>
      <c r="FJ238" s="116" t="str">
        <f t="shared" si="36"/>
        <v>Transactional</v>
      </c>
      <c r="FK238" s="125">
        <f t="shared" si="37"/>
        <v>0.602739726</v>
      </c>
      <c r="FL238" s="116" t="str">
        <f t="shared" si="38"/>
        <v>B2B</v>
      </c>
      <c r="FM238" s="125">
        <f t="shared" si="39"/>
        <v>0.2465753425</v>
      </c>
      <c r="FN238" s="116" t="str">
        <f t="shared" si="40"/>
        <v>Low</v>
      </c>
      <c r="FO238" s="125">
        <f t="shared" si="41"/>
        <v>0.4383561644</v>
      </c>
      <c r="FP238" s="116" t="str">
        <f t="shared" si="42"/>
        <v>Low</v>
      </c>
      <c r="FQ238" s="125">
        <f t="shared" si="43"/>
        <v>0.3561643836</v>
      </c>
      <c r="FR238" s="112"/>
      <c r="FS238" s="123">
        <f t="shared" si="44"/>
        <v>5</v>
      </c>
      <c r="FT238" s="123">
        <f t="shared" si="45"/>
        <v>1</v>
      </c>
      <c r="FU238" s="123">
        <f t="shared" si="46"/>
        <v>5</v>
      </c>
      <c r="FV238" s="123">
        <f t="shared" si="47"/>
        <v>4.1</v>
      </c>
      <c r="FW238" s="119">
        <f t="shared" si="48"/>
        <v>15.1</v>
      </c>
      <c r="FX238" s="115">
        <f>1+((FW238-MIN(performance_ratings_sums))*(4)/(MAX(performance_ratings_sums) - MIN(performance_ratings_sums)))</f>
        <v>4.140186916</v>
      </c>
      <c r="FY238" s="116" t="str">
        <f t="shared" si="49"/>
        <v>Pre-Profit</v>
      </c>
      <c r="FZ238" s="126">
        <f t="shared" si="50"/>
        <v>0.4931506849</v>
      </c>
      <c r="GA238" s="112"/>
      <c r="GB238" s="127">
        <f t="shared" si="51"/>
        <v>1</v>
      </c>
      <c r="GC238" s="116" t="str">
        <f t="shared" si="52"/>
        <v>No</v>
      </c>
      <c r="GD238" s="126">
        <f t="shared" si="53"/>
        <v>0.7671232877</v>
      </c>
      <c r="GE238" s="126" t="str">
        <f t="shared" si="54"/>
        <v/>
      </c>
      <c r="GF238" s="126">
        <f t="shared" si="55"/>
        <v>0</v>
      </c>
      <c r="GG238" s="126" t="str">
        <f t="shared" si="56"/>
        <v/>
      </c>
      <c r="GH238" s="126">
        <f t="shared" si="57"/>
        <v>0</v>
      </c>
      <c r="GI238" s="112"/>
      <c r="GJ238" s="116"/>
      <c r="GK238" s="119">
        <f t="shared" si="58"/>
        <v>13.31562551</v>
      </c>
      <c r="GL238" s="128">
        <f>1+((GK238-MIN(ratings_sums))*(4)/(MAX(ratings_sums) - MIN(ratings_sums)))</f>
        <v>2.8783623</v>
      </c>
    </row>
    <row r="239" ht="15.75" customHeight="1">
      <c r="A239" s="161" t="s">
        <v>1128</v>
      </c>
      <c r="B239" s="15">
        <v>1796532.0</v>
      </c>
      <c r="C239" s="162" t="s">
        <v>1550</v>
      </c>
      <c r="D239" s="209">
        <v>43860.50902777778</v>
      </c>
      <c r="E239" s="15" t="s">
        <v>357</v>
      </c>
      <c r="F239" s="164" t="s">
        <v>1551</v>
      </c>
      <c r="G239" s="164" t="s">
        <v>1552</v>
      </c>
      <c r="H239" s="210">
        <v>43853.0</v>
      </c>
      <c r="I239" s="162" t="s">
        <v>1553</v>
      </c>
      <c r="J239" s="162"/>
      <c r="K239" s="15" t="s">
        <v>534</v>
      </c>
      <c r="L239" s="15" t="s">
        <v>390</v>
      </c>
      <c r="M239" s="15" t="s">
        <v>31</v>
      </c>
      <c r="N239" s="15" t="s">
        <v>32</v>
      </c>
      <c r="O239" s="15" t="s">
        <v>35</v>
      </c>
      <c r="Q239" s="15" t="s">
        <v>195</v>
      </c>
      <c r="R239" s="166"/>
      <c r="S239" s="120"/>
      <c r="T239" s="69"/>
      <c r="U239" s="69">
        <v>2100000.0</v>
      </c>
      <c r="V239" s="132">
        <v>0.2</v>
      </c>
      <c r="W239" s="96">
        <f t="shared" si="125"/>
        <v>1680000</v>
      </c>
      <c r="X239" s="98">
        <f t="shared" si="126"/>
        <v>1680000</v>
      </c>
      <c r="Y239" s="99" t="str">
        <f t="shared" si="127"/>
        <v>$1M - $2M</v>
      </c>
      <c r="Z239" s="15" t="s">
        <v>36</v>
      </c>
      <c r="AA239" s="15" t="s">
        <v>123</v>
      </c>
      <c r="AB239" s="15" t="s">
        <v>38</v>
      </c>
      <c r="AC239" s="15" t="s">
        <v>493</v>
      </c>
      <c r="AD239" s="15" t="s">
        <v>89</v>
      </c>
      <c r="AE239" s="15" t="s">
        <v>89</v>
      </c>
      <c r="AF239" s="15" t="s">
        <v>469</v>
      </c>
      <c r="AG239" s="69">
        <v>2.4E9</v>
      </c>
      <c r="AH239" s="97" t="str">
        <f t="shared" si="128"/>
        <v>$1B-$5B</v>
      </c>
      <c r="AI239" s="69">
        <v>1.75E8</v>
      </c>
      <c r="AJ239" s="97" t="str">
        <f t="shared" si="129"/>
        <v>$100M-$250M</v>
      </c>
      <c r="AK239" s="167">
        <v>0.06</v>
      </c>
      <c r="AL239" s="88" t="str">
        <f t="shared" si="130"/>
        <v>0%-10%</v>
      </c>
      <c r="AM239" s="15">
        <v>50.0</v>
      </c>
      <c r="AN239" s="15" t="s">
        <v>89</v>
      </c>
      <c r="AO239" s="15" t="s">
        <v>89</v>
      </c>
      <c r="AP239" s="15" t="s">
        <v>40</v>
      </c>
      <c r="AQ239" s="168"/>
      <c r="AR239" s="168"/>
      <c r="AS239" s="15" t="s">
        <v>469</v>
      </c>
      <c r="AT239" s="15" t="s">
        <v>493</v>
      </c>
      <c r="AU239" s="15" t="s">
        <v>469</v>
      </c>
      <c r="AV239" s="15" t="s">
        <v>469</v>
      </c>
      <c r="AW239" s="69">
        <v>0.0</v>
      </c>
      <c r="AX239" s="96" t="str">
        <f t="shared" si="131"/>
        <v>&lt; $10K</v>
      </c>
      <c r="AY239" s="69">
        <v>6414.0</v>
      </c>
      <c r="AZ239" s="69">
        <v>68428.0</v>
      </c>
      <c r="BA239" s="103" t="str">
        <f t="shared" si="132"/>
        <v>$50K - $100K</v>
      </c>
      <c r="BB239" s="103">
        <f t="shared" si="133"/>
        <v>0.09373355936</v>
      </c>
      <c r="BC239" s="103" t="str">
        <f t="shared" si="134"/>
        <v>&lt; 10%</v>
      </c>
      <c r="BD239" s="15" t="s">
        <v>91</v>
      </c>
      <c r="BF239" s="15" t="s">
        <v>493</v>
      </c>
      <c r="BG239" s="15">
        <v>0.0</v>
      </c>
      <c r="BH239" s="15">
        <v>1.0</v>
      </c>
      <c r="BI239" s="15" t="s">
        <v>493</v>
      </c>
      <c r="BJ239" s="15" t="s">
        <v>469</v>
      </c>
      <c r="BK239" s="15" t="s">
        <v>469</v>
      </c>
      <c r="BL239" s="15" t="s">
        <v>469</v>
      </c>
      <c r="BM239" s="15">
        <v>1.0</v>
      </c>
      <c r="BN239" s="15">
        <v>1.0</v>
      </c>
      <c r="BO239" s="15">
        <v>0.0</v>
      </c>
      <c r="BP239" s="15">
        <v>0.0</v>
      </c>
      <c r="BQ239" s="108"/>
      <c r="BR239" s="15">
        <v>25.0</v>
      </c>
      <c r="BS239" s="15">
        <v>4.0</v>
      </c>
      <c r="BT239" s="15">
        <v>0.0</v>
      </c>
      <c r="BU239" s="15">
        <v>68.0</v>
      </c>
      <c r="BV239" s="15" t="s">
        <v>469</v>
      </c>
      <c r="BW239" s="108"/>
      <c r="CC239" s="108"/>
      <c r="CI239" s="108"/>
      <c r="CO239" s="108"/>
      <c r="CU239" s="108"/>
      <c r="DA239" s="108"/>
      <c r="DG239" s="108"/>
      <c r="DM239" s="108"/>
      <c r="DS239" s="108"/>
      <c r="DT239" s="108"/>
      <c r="DU239" s="108"/>
      <c r="DW239" s="109"/>
      <c r="DX239" s="110">
        <f t="shared" si="13"/>
        <v>25</v>
      </c>
      <c r="DY239" s="111">
        <f t="shared" ref="DY239:DZ239" si="537">sum(BS239,BY239,CE239,CK239,CQ239,CW239,DC239,DI239,DO239)</f>
        <v>4</v>
      </c>
      <c r="DZ239" s="111">
        <f t="shared" si="537"/>
        <v>0</v>
      </c>
      <c r="EA239" s="110">
        <f t="shared" si="15"/>
        <v>68</v>
      </c>
      <c r="EB239" s="99" t="str">
        <f t="shared" si="16"/>
        <v>55+</v>
      </c>
      <c r="EC239" s="112"/>
      <c r="ED239" s="113">
        <f t="shared" si="17"/>
        <v>4.8</v>
      </c>
      <c r="EE239" s="114">
        <f>IF(V239 &lt;&gt; "", 1+((V239-MIN(discount_rates))*(4)/(MAX(discount_rates) - MIN(discount_rates))), "")</f>
        <v>3.105263158</v>
      </c>
      <c r="EF239" s="114" t="str">
        <f>IF(Q239="Debt", (1+((S239-MIN(interest_rates))*(4)/(MAX(interest_rates) - MIN(interest_rates)))), "")</f>
        <v/>
      </c>
      <c r="EG239" s="114" t="str">
        <f>IF(OR(Q239="Revenue Share", Q239="Profit Share"), (1+((R239-MIN(return_mutiples))*(4)/(MAX(return_mutiples) - MIN(return_mutiples)))), "")</f>
        <v/>
      </c>
      <c r="EH239" s="115">
        <f t="shared" si="18"/>
        <v>4.8</v>
      </c>
      <c r="EI239" s="116" t="str">
        <f t="shared" si="19"/>
        <v>SAFE</v>
      </c>
      <c r="EJ239" s="117">
        <f t="shared" si="20"/>
        <v>0.3561643836</v>
      </c>
      <c r="EK239" s="116" t="str">
        <f t="shared" si="21"/>
        <v>Early</v>
      </c>
      <c r="EL239" s="112"/>
      <c r="EM239" s="118">
        <f t="shared" si="22"/>
        <v>1.9</v>
      </c>
      <c r="EN239" s="118">
        <f t="shared" si="23"/>
        <v>1.7</v>
      </c>
      <c r="EO239" s="119">
        <f t="shared" si="24"/>
        <v>3.6</v>
      </c>
      <c r="EP239" s="115">
        <f>1+((EO239-MIN(market_ratings_sums))*(4)/(MAX(market_ratings_sums) - MIN(market_ratings_sums)))</f>
        <v>1.631578947</v>
      </c>
      <c r="EQ239" s="116" t="str">
        <f t="shared" si="25"/>
        <v>No</v>
      </c>
      <c r="ER239" s="112"/>
      <c r="ES239" s="123">
        <f>1+((DX239-MIN(industry_experiences))*(4)/(MAX(industry_experiences) - MIN(industry_experiences)))</f>
        <v>3.380952381</v>
      </c>
      <c r="ET239" s="123">
        <f>1+((DY239-MIN(previous_startups))*(4)/(MAX(previous_startups) - MIN(previous_startups)))</f>
        <v>2.777777778</v>
      </c>
      <c r="EU239" s="123">
        <f>1+((DZ239-MIN(exits))*(4)/(MAX(exits) - MIN(exits)))</f>
        <v>1</v>
      </c>
      <c r="EV239" s="119">
        <f t="shared" si="26"/>
        <v>7.158730159</v>
      </c>
      <c r="EW239" s="124">
        <f>1+((EV239-MIN(team_ratings_sums))*(4)/(MAX(team_ratings_sums) - MIN(team_ratings_sums)))</f>
        <v>3.27826087</v>
      </c>
      <c r="EX239" s="116" t="str">
        <f t="shared" si="27"/>
        <v>55+</v>
      </c>
      <c r="EY239" s="125">
        <f t="shared" si="28"/>
        <v>0.1095890411</v>
      </c>
      <c r="EZ239" s="116">
        <f t="shared" si="29"/>
        <v>1</v>
      </c>
      <c r="FA239" s="125">
        <f t="shared" si="30"/>
        <v>0.4383561644</v>
      </c>
      <c r="FB239" s="116">
        <f t="shared" si="31"/>
        <v>1</v>
      </c>
      <c r="FC239" s="125">
        <f t="shared" si="32"/>
        <v>0.08219178082</v>
      </c>
      <c r="FD239" s="116" t="str">
        <f t="shared" si="33"/>
        <v>Yes</v>
      </c>
      <c r="FE239" s="125">
        <f t="shared" si="34"/>
        <v>0.2465753425</v>
      </c>
      <c r="FF239" s="116" t="str">
        <f t="shared" ref="FF239:FH239" si="538">BJ239</f>
        <v>No</v>
      </c>
      <c r="FG239" s="116" t="str">
        <f t="shared" si="538"/>
        <v>No</v>
      </c>
      <c r="FH239" s="116" t="str">
        <f t="shared" si="538"/>
        <v>No</v>
      </c>
      <c r="FI239" s="112"/>
      <c r="FJ239" s="116" t="str">
        <f t="shared" si="36"/>
        <v>Transactional</v>
      </c>
      <c r="FK239" s="125">
        <f t="shared" si="37"/>
        <v>0.602739726</v>
      </c>
      <c r="FL239" s="116" t="str">
        <f t="shared" si="38"/>
        <v>B2B/B2C</v>
      </c>
      <c r="FM239" s="125">
        <f t="shared" si="39"/>
        <v>0.3287671233</v>
      </c>
      <c r="FN239" s="116" t="str">
        <f t="shared" si="40"/>
        <v>Low</v>
      </c>
      <c r="FO239" s="125">
        <f t="shared" si="41"/>
        <v>0.4383561644</v>
      </c>
      <c r="FP239" s="116" t="str">
        <f t="shared" si="42"/>
        <v>Low</v>
      </c>
      <c r="FQ239" s="125">
        <f t="shared" si="43"/>
        <v>0.3561643836</v>
      </c>
      <c r="FR239" s="112"/>
      <c r="FS239" s="123">
        <f t="shared" si="44"/>
        <v>1</v>
      </c>
      <c r="FT239" s="123">
        <f t="shared" si="45"/>
        <v>1</v>
      </c>
      <c r="FU239" s="123">
        <f t="shared" si="46"/>
        <v>5</v>
      </c>
      <c r="FV239" s="123">
        <f t="shared" si="47"/>
        <v>4.1</v>
      </c>
      <c r="FW239" s="119">
        <f t="shared" si="48"/>
        <v>11.1</v>
      </c>
      <c r="FX239" s="115">
        <f>1+((FW239-MIN(performance_ratings_sums))*(4)/(MAX(performance_ratings_sums) - MIN(performance_ratings_sums)))</f>
        <v>2.644859813</v>
      </c>
      <c r="FY239" s="116" t="str">
        <f t="shared" si="49"/>
        <v>Pre-Revenue</v>
      </c>
      <c r="FZ239" s="126">
        <f t="shared" si="50"/>
        <v>0.2054794521</v>
      </c>
      <c r="GA239" s="112"/>
      <c r="GB239" s="127">
        <f t="shared" si="51"/>
        <v>1</v>
      </c>
      <c r="GC239" s="116" t="str">
        <f t="shared" si="52"/>
        <v>Yes</v>
      </c>
      <c r="GD239" s="126">
        <f t="shared" si="53"/>
        <v>0.2328767123</v>
      </c>
      <c r="GE239" s="126" t="str">
        <f t="shared" si="54"/>
        <v/>
      </c>
      <c r="GF239" s="126">
        <f t="shared" si="55"/>
        <v>0</v>
      </c>
      <c r="GG239" s="126" t="str">
        <f t="shared" si="56"/>
        <v/>
      </c>
      <c r="GH239" s="126">
        <f t="shared" si="57"/>
        <v>0</v>
      </c>
      <c r="GI239" s="112"/>
      <c r="GJ239" s="116"/>
      <c r="GK239" s="119">
        <f t="shared" si="58"/>
        <v>13.35469963</v>
      </c>
      <c r="GL239" s="128">
        <f>1+((GK239-MIN(ratings_sums))*(4)/(MAX(ratings_sums) - MIN(ratings_sums)))</f>
        <v>2.890351801</v>
      </c>
    </row>
    <row r="240" ht="15.75" customHeight="1">
      <c r="A240" s="161" t="s">
        <v>1128</v>
      </c>
      <c r="B240" s="15">
        <v>1794083.0</v>
      </c>
      <c r="C240" s="162" t="s">
        <v>1554</v>
      </c>
      <c r="D240" s="209">
        <v>43861.58472222222</v>
      </c>
      <c r="E240" s="15" t="s">
        <v>381</v>
      </c>
      <c r="F240" s="164" t="s">
        <v>1555</v>
      </c>
      <c r="G240" s="164" t="s">
        <v>1556</v>
      </c>
      <c r="H240" s="173">
        <v>43860.0</v>
      </c>
      <c r="I240" s="162" t="s">
        <v>1557</v>
      </c>
      <c r="J240" s="162" t="s">
        <v>1558</v>
      </c>
      <c r="K240" s="15" t="s">
        <v>153</v>
      </c>
      <c r="L240" s="15" t="s">
        <v>390</v>
      </c>
      <c r="M240" s="15" t="s">
        <v>81</v>
      </c>
      <c r="N240" s="15" t="s">
        <v>101</v>
      </c>
      <c r="O240" s="15" t="s">
        <v>35</v>
      </c>
      <c r="Q240" s="15" t="s">
        <v>121</v>
      </c>
      <c r="R240" s="166"/>
      <c r="S240" s="120"/>
      <c r="T240" s="69">
        <v>4000000.0</v>
      </c>
      <c r="U240" s="69"/>
      <c r="V240" s="132"/>
      <c r="W240" s="96" t="str">
        <f t="shared" si="125"/>
        <v/>
      </c>
      <c r="X240" s="98">
        <f t="shared" si="126"/>
        <v>4000000</v>
      </c>
      <c r="Y240" s="99" t="str">
        <f t="shared" si="127"/>
        <v>$2M - $4M</v>
      </c>
      <c r="Z240" s="15" t="s">
        <v>86</v>
      </c>
      <c r="AA240" s="15" t="s">
        <v>87</v>
      </c>
      <c r="AB240" s="15" t="s">
        <v>38</v>
      </c>
      <c r="AC240" s="15" t="s">
        <v>493</v>
      </c>
      <c r="AD240" s="15" t="s">
        <v>89</v>
      </c>
      <c r="AE240" s="15" t="s">
        <v>89</v>
      </c>
      <c r="AF240" s="15" t="s">
        <v>469</v>
      </c>
      <c r="AG240" s="69">
        <v>1.35E10</v>
      </c>
      <c r="AH240" s="97" t="str">
        <f t="shared" si="128"/>
        <v>$10B-$25B</v>
      </c>
      <c r="AI240" s="69">
        <v>1.35E10</v>
      </c>
      <c r="AJ240" s="97" t="str">
        <f t="shared" si="129"/>
        <v>$10B-$25B</v>
      </c>
      <c r="AK240" s="167">
        <v>0.29</v>
      </c>
      <c r="AL240" s="88" t="str">
        <f t="shared" si="130"/>
        <v>20%-30%</v>
      </c>
      <c r="AM240" s="15">
        <v>19.0</v>
      </c>
      <c r="AN240" s="15" t="s">
        <v>89</v>
      </c>
      <c r="AO240" s="15" t="s">
        <v>89</v>
      </c>
      <c r="AP240" s="15" t="s">
        <v>40</v>
      </c>
      <c r="AQ240" s="168"/>
      <c r="AR240" s="168"/>
      <c r="AS240" s="15" t="s">
        <v>469</v>
      </c>
      <c r="AT240" s="15" t="s">
        <v>469</v>
      </c>
      <c r="AU240" s="15" t="s">
        <v>493</v>
      </c>
      <c r="AV240" s="15" t="s">
        <v>493</v>
      </c>
      <c r="AW240" s="69">
        <v>350719.0</v>
      </c>
      <c r="AX240" s="96" t="str">
        <f t="shared" si="131"/>
        <v>$100K - $500K</v>
      </c>
      <c r="AY240" s="69">
        <v>2687.0</v>
      </c>
      <c r="AZ240" s="69">
        <v>481341.0</v>
      </c>
      <c r="BA240" s="103" t="str">
        <f t="shared" si="132"/>
        <v>$100K - $500K</v>
      </c>
      <c r="BB240" s="103">
        <f t="shared" si="133"/>
        <v>0.005582321057</v>
      </c>
      <c r="BC240" s="103" t="str">
        <f t="shared" si="134"/>
        <v>&lt; 10%</v>
      </c>
      <c r="BD240" s="15" t="s">
        <v>107</v>
      </c>
      <c r="BF240" s="15" t="s">
        <v>493</v>
      </c>
      <c r="BG240" s="15">
        <v>0.0</v>
      </c>
      <c r="BH240" s="15">
        <v>1.0</v>
      </c>
      <c r="BI240" s="15" t="s">
        <v>493</v>
      </c>
      <c r="BJ240" s="15" t="s">
        <v>493</v>
      </c>
      <c r="BK240" s="15" t="s">
        <v>469</v>
      </c>
      <c r="BL240" s="15" t="s">
        <v>469</v>
      </c>
      <c r="BM240" s="15">
        <v>3.0</v>
      </c>
      <c r="BN240" s="15">
        <v>4.0</v>
      </c>
      <c r="BO240" s="15">
        <v>0.0</v>
      </c>
      <c r="BP240" s="15">
        <v>0.0</v>
      </c>
      <c r="BQ240" s="108"/>
      <c r="BR240" s="15">
        <v>7.0</v>
      </c>
      <c r="BS240" s="15">
        <v>0.0</v>
      </c>
      <c r="BT240" s="15">
        <v>0.0</v>
      </c>
      <c r="BU240" s="15">
        <v>32.0</v>
      </c>
      <c r="BV240" s="15" t="s">
        <v>469</v>
      </c>
      <c r="BW240" s="108"/>
      <c r="CC240" s="108"/>
      <c r="CI240" s="108"/>
      <c r="CO240" s="108"/>
      <c r="CU240" s="108"/>
      <c r="DA240" s="108"/>
      <c r="DG240" s="108"/>
      <c r="DM240" s="108"/>
      <c r="DS240" s="108"/>
      <c r="DT240" s="108"/>
      <c r="DU240" s="108"/>
      <c r="DW240" s="109"/>
      <c r="DX240" s="110">
        <f t="shared" si="13"/>
        <v>7</v>
      </c>
      <c r="DY240" s="111">
        <f t="shared" ref="DY240:DZ240" si="539">sum(BS240,BY240,CE240,CK240,CQ240,CW240,DC240,DI240,DO240)</f>
        <v>0</v>
      </c>
      <c r="DZ240" s="111">
        <f t="shared" si="539"/>
        <v>0</v>
      </c>
      <c r="EA240" s="110">
        <f t="shared" si="15"/>
        <v>32</v>
      </c>
      <c r="EB240" s="99" t="str">
        <f t="shared" si="16"/>
        <v>20 - 34</v>
      </c>
      <c r="EC240" s="112"/>
      <c r="ED240" s="113">
        <f t="shared" si="17"/>
        <v>4.6</v>
      </c>
      <c r="EE240" s="114" t="str">
        <f>IF(V240 &lt;&gt; "", 1+((V240-MIN(discount_rates))*(4)/(MAX(discount_rates) - MIN(discount_rates))), "")</f>
        <v/>
      </c>
      <c r="EF240" s="114" t="str">
        <f>IF(Q240="Debt", (1+((S240-MIN(interest_rates))*(4)/(MAX(interest_rates) - MIN(interest_rates)))), "")</f>
        <v/>
      </c>
      <c r="EG240" s="114" t="str">
        <f>IF(OR(Q240="Revenue Share", Q240="Profit Share"), (1+((R240-MIN(return_mutiples))*(4)/(MAX(return_mutiples) - MIN(return_mutiples)))), "")</f>
        <v/>
      </c>
      <c r="EH240" s="115">
        <f t="shared" si="18"/>
        <v>4.6</v>
      </c>
      <c r="EI240" s="116" t="str">
        <f t="shared" si="19"/>
        <v>Equity - Common</v>
      </c>
      <c r="EJ240" s="117">
        <f t="shared" si="20"/>
        <v>0.3287671233</v>
      </c>
      <c r="EK240" s="116" t="str">
        <f t="shared" si="21"/>
        <v>Growth</v>
      </c>
      <c r="EL240" s="112"/>
      <c r="EM240" s="118">
        <f t="shared" si="22"/>
        <v>3.3</v>
      </c>
      <c r="EN240" s="118">
        <f t="shared" si="23"/>
        <v>3</v>
      </c>
      <c r="EO240" s="119">
        <f t="shared" si="24"/>
        <v>6.3</v>
      </c>
      <c r="EP240" s="115">
        <f>1+((EO240-MIN(market_ratings_sums))*(4)/(MAX(market_ratings_sums) - MIN(market_ratings_sums)))</f>
        <v>3.526315789</v>
      </c>
      <c r="EQ240" s="116" t="str">
        <f t="shared" si="25"/>
        <v>No</v>
      </c>
      <c r="ER240" s="112"/>
      <c r="ES240" s="123">
        <f>1+((DX240-MIN(industry_experiences))*(4)/(MAX(industry_experiences) - MIN(industry_experiences)))</f>
        <v>1.666666667</v>
      </c>
      <c r="ET240" s="123">
        <f>1+((DY240-MIN(previous_startups))*(4)/(MAX(previous_startups) - MIN(previous_startups)))</f>
        <v>1</v>
      </c>
      <c r="EU240" s="123">
        <f>1+((DZ240-MIN(exits))*(4)/(MAX(exits) - MIN(exits)))</f>
        <v>1</v>
      </c>
      <c r="EV240" s="119">
        <f t="shared" si="26"/>
        <v>3.666666667</v>
      </c>
      <c r="EW240" s="124">
        <f>1+((EV240-MIN(team_ratings_sums))*(4)/(MAX(team_ratings_sums) - MIN(team_ratings_sums)))</f>
        <v>1.365217391</v>
      </c>
      <c r="EX240" s="116" t="str">
        <f t="shared" si="27"/>
        <v>20 - 34</v>
      </c>
      <c r="EY240" s="125">
        <f t="shared" si="28"/>
        <v>0.2054794521</v>
      </c>
      <c r="EZ240" s="116">
        <f t="shared" si="29"/>
        <v>1</v>
      </c>
      <c r="FA240" s="125">
        <f t="shared" si="30"/>
        <v>0.4383561644</v>
      </c>
      <c r="FB240" s="116">
        <f t="shared" si="31"/>
        <v>4</v>
      </c>
      <c r="FC240" s="125">
        <f t="shared" si="32"/>
        <v>0.1369863014</v>
      </c>
      <c r="FD240" s="116" t="str">
        <f t="shared" si="33"/>
        <v>Yes</v>
      </c>
      <c r="FE240" s="125">
        <f t="shared" si="34"/>
        <v>0.2465753425</v>
      </c>
      <c r="FF240" s="116" t="str">
        <f t="shared" ref="FF240:FH240" si="540">BJ240</f>
        <v>Yes</v>
      </c>
      <c r="FG240" s="116" t="str">
        <f t="shared" si="540"/>
        <v>No</v>
      </c>
      <c r="FH240" s="116" t="str">
        <f t="shared" si="540"/>
        <v>No</v>
      </c>
      <c r="FI240" s="112"/>
      <c r="FJ240" s="116" t="str">
        <f t="shared" si="36"/>
        <v>Recurring</v>
      </c>
      <c r="FK240" s="125">
        <f t="shared" si="37"/>
        <v>0.397260274</v>
      </c>
      <c r="FL240" s="116" t="str">
        <f t="shared" si="38"/>
        <v>B2C</v>
      </c>
      <c r="FM240" s="125">
        <f t="shared" si="39"/>
        <v>0.397260274</v>
      </c>
      <c r="FN240" s="116" t="str">
        <f t="shared" si="40"/>
        <v>Low</v>
      </c>
      <c r="FO240" s="125">
        <f t="shared" si="41"/>
        <v>0.4383561644</v>
      </c>
      <c r="FP240" s="116" t="str">
        <f t="shared" si="42"/>
        <v>Low</v>
      </c>
      <c r="FQ240" s="125">
        <f t="shared" si="43"/>
        <v>0.3561643836</v>
      </c>
      <c r="FR240" s="112"/>
      <c r="FS240" s="123">
        <f t="shared" si="44"/>
        <v>5</v>
      </c>
      <c r="FT240" s="123">
        <f t="shared" si="45"/>
        <v>2.3</v>
      </c>
      <c r="FU240" s="123">
        <f t="shared" si="46"/>
        <v>5</v>
      </c>
      <c r="FV240" s="123">
        <f t="shared" si="47"/>
        <v>3.7</v>
      </c>
      <c r="FW240" s="119">
        <f t="shared" si="48"/>
        <v>16</v>
      </c>
      <c r="FX240" s="115">
        <f>1+((FW240-MIN(performance_ratings_sums))*(4)/(MAX(performance_ratings_sums) - MIN(performance_ratings_sums)))</f>
        <v>4.476635514</v>
      </c>
      <c r="FY240" s="116" t="str">
        <f t="shared" si="49"/>
        <v>Pre-Profit</v>
      </c>
      <c r="FZ240" s="126">
        <f t="shared" si="50"/>
        <v>0.4931506849</v>
      </c>
      <c r="GA240" s="112"/>
      <c r="GB240" s="127">
        <f t="shared" si="51"/>
        <v>1</v>
      </c>
      <c r="GC240" s="116" t="str">
        <f t="shared" si="52"/>
        <v>No</v>
      </c>
      <c r="GD240" s="126">
        <f t="shared" si="53"/>
        <v>0.7671232877</v>
      </c>
      <c r="GE240" s="126" t="str">
        <f t="shared" si="54"/>
        <v/>
      </c>
      <c r="GF240" s="126">
        <f t="shared" si="55"/>
        <v>0</v>
      </c>
      <c r="GG240" s="126" t="str">
        <f t="shared" si="56"/>
        <v/>
      </c>
      <c r="GH240" s="126">
        <f t="shared" si="57"/>
        <v>0</v>
      </c>
      <c r="GI240" s="112"/>
      <c r="GJ240" s="116"/>
      <c r="GK240" s="119">
        <f t="shared" si="58"/>
        <v>14.96816869</v>
      </c>
      <c r="GL240" s="128">
        <f>1+((GK240-MIN(ratings_sums))*(4)/(MAX(ratings_sums) - MIN(ratings_sums)))</f>
        <v>3.385428596</v>
      </c>
    </row>
    <row r="241" ht="15.75" customHeight="1">
      <c r="A241" s="161" t="s">
        <v>1128</v>
      </c>
      <c r="B241" s="15">
        <v>1800216.0</v>
      </c>
      <c r="C241" s="162" t="s">
        <v>1559</v>
      </c>
      <c r="D241" s="209">
        <v>43861.7</v>
      </c>
      <c r="E241" s="15" t="s">
        <v>392</v>
      </c>
      <c r="F241" s="164" t="s">
        <v>1560</v>
      </c>
      <c r="G241" s="164" t="s">
        <v>1561</v>
      </c>
      <c r="H241" s="210">
        <v>43845.0</v>
      </c>
      <c r="I241" s="162" t="s">
        <v>1562</v>
      </c>
      <c r="J241" s="162" t="s">
        <v>1559</v>
      </c>
      <c r="K241" s="15" t="s">
        <v>471</v>
      </c>
      <c r="L241" s="15" t="s">
        <v>390</v>
      </c>
      <c r="M241" s="15" t="s">
        <v>31</v>
      </c>
      <c r="N241" s="15" t="s">
        <v>82</v>
      </c>
      <c r="O241" s="15" t="s">
        <v>35</v>
      </c>
      <c r="Q241" s="15" t="s">
        <v>84</v>
      </c>
      <c r="R241" s="166"/>
      <c r="S241" s="120"/>
      <c r="T241" s="69"/>
      <c r="U241" s="69">
        <v>5000000.0</v>
      </c>
      <c r="V241" s="132">
        <v>0.2</v>
      </c>
      <c r="W241" s="96">
        <f t="shared" si="125"/>
        <v>4000000</v>
      </c>
      <c r="X241" s="98">
        <f t="shared" si="126"/>
        <v>4000000</v>
      </c>
      <c r="Y241" s="99" t="str">
        <f t="shared" si="127"/>
        <v>$2M - $4M</v>
      </c>
      <c r="Z241" s="15" t="s">
        <v>86</v>
      </c>
      <c r="AA241" s="15" t="s">
        <v>105</v>
      </c>
      <c r="AB241" s="15" t="s">
        <v>38</v>
      </c>
      <c r="AC241" s="15" t="s">
        <v>493</v>
      </c>
      <c r="AD241" s="15" t="s">
        <v>39</v>
      </c>
      <c r="AE241" s="15" t="s">
        <v>89</v>
      </c>
      <c r="AF241" s="15" t="s">
        <v>493</v>
      </c>
      <c r="AG241" s="69">
        <v>3.11E11</v>
      </c>
      <c r="AH241" s="97" t="str">
        <f t="shared" si="128"/>
        <v>$250B-$500B</v>
      </c>
      <c r="AI241" s="69">
        <v>3.11E11</v>
      </c>
      <c r="AJ241" s="97" t="str">
        <f t="shared" si="129"/>
        <v>$250B-$500B</v>
      </c>
      <c r="AK241" s="167">
        <v>0.04</v>
      </c>
      <c r="AL241" s="88" t="str">
        <f t="shared" si="130"/>
        <v>0%-10%</v>
      </c>
      <c r="AM241" s="15">
        <v>0.0</v>
      </c>
      <c r="AN241" s="15" t="s">
        <v>39</v>
      </c>
      <c r="AO241" s="15" t="s">
        <v>39</v>
      </c>
      <c r="AP241" s="15" t="s">
        <v>90</v>
      </c>
      <c r="AQ241" s="168"/>
      <c r="AR241" s="168"/>
      <c r="AS241" s="15" t="s">
        <v>469</v>
      </c>
      <c r="AT241" s="15" t="s">
        <v>469</v>
      </c>
      <c r="AU241" s="15" t="s">
        <v>493</v>
      </c>
      <c r="AV241" s="15" t="s">
        <v>493</v>
      </c>
      <c r="AW241" s="69">
        <v>337.0</v>
      </c>
      <c r="AX241" s="96" t="str">
        <f t="shared" si="131"/>
        <v>&lt; $10K</v>
      </c>
      <c r="AY241" s="69">
        <v>15562.0</v>
      </c>
      <c r="AZ241" s="69">
        <v>300000.0</v>
      </c>
      <c r="BA241" s="103" t="str">
        <f t="shared" si="132"/>
        <v>$100K - $500K</v>
      </c>
      <c r="BB241" s="103">
        <f t="shared" si="133"/>
        <v>0.05187333333</v>
      </c>
      <c r="BC241" s="103" t="str">
        <f t="shared" si="134"/>
        <v>&lt; 10%</v>
      </c>
      <c r="BD241" s="15" t="s">
        <v>107</v>
      </c>
      <c r="BF241" s="15" t="s">
        <v>469</v>
      </c>
      <c r="BG241" s="15">
        <v>0.0</v>
      </c>
      <c r="BH241" s="15">
        <v>2.0</v>
      </c>
      <c r="BI241" s="15" t="s">
        <v>493</v>
      </c>
      <c r="BJ241" s="15" t="s">
        <v>469</v>
      </c>
      <c r="BK241" s="15" t="s">
        <v>469</v>
      </c>
      <c r="BL241" s="15" t="s">
        <v>469</v>
      </c>
      <c r="BM241" s="15">
        <v>3.0</v>
      </c>
      <c r="BN241" s="15">
        <v>5.0</v>
      </c>
      <c r="BO241" s="15">
        <v>0.0</v>
      </c>
      <c r="BP241" s="15">
        <v>0.0</v>
      </c>
      <c r="BQ241" s="108"/>
      <c r="BR241" s="15">
        <v>14.0</v>
      </c>
      <c r="BS241" s="15">
        <v>0.0</v>
      </c>
      <c r="BT241" s="15">
        <v>0.0</v>
      </c>
      <c r="BU241" s="15">
        <v>42.0</v>
      </c>
      <c r="BV241" s="15" t="s">
        <v>469</v>
      </c>
      <c r="BW241" s="108"/>
      <c r="BX241" s="15">
        <v>0.0</v>
      </c>
      <c r="BY241" s="15">
        <v>0.0</v>
      </c>
      <c r="BZ241" s="15">
        <v>0.0</v>
      </c>
      <c r="CA241" s="15">
        <v>28.0</v>
      </c>
      <c r="CB241" s="15" t="s">
        <v>469</v>
      </c>
      <c r="CC241" s="108"/>
      <c r="CI241" s="108"/>
      <c r="CO241" s="108"/>
      <c r="CU241" s="108"/>
      <c r="DA241" s="108"/>
      <c r="DG241" s="108"/>
      <c r="DM241" s="108"/>
      <c r="DS241" s="108"/>
      <c r="DT241" s="108"/>
      <c r="DU241" s="108"/>
      <c r="DW241" s="109"/>
      <c r="DX241" s="110">
        <f t="shared" si="13"/>
        <v>7</v>
      </c>
      <c r="DY241" s="111">
        <f t="shared" ref="DY241:DZ241" si="541">sum(BS241,BY241,CE241,CK241,CQ241,CW241,DC241,DI241,DO241)</f>
        <v>0</v>
      </c>
      <c r="DZ241" s="111">
        <f t="shared" si="541"/>
        <v>0</v>
      </c>
      <c r="EA241" s="110">
        <f t="shared" si="15"/>
        <v>35</v>
      </c>
      <c r="EB241" s="99" t="str">
        <f t="shared" si="16"/>
        <v>35 - 54</v>
      </c>
      <c r="EC241" s="112"/>
      <c r="ED241" s="113">
        <f t="shared" si="17"/>
        <v>4.6</v>
      </c>
      <c r="EE241" s="114">
        <f>IF(V241 &lt;&gt; "", 1+((V241-MIN(discount_rates))*(4)/(MAX(discount_rates) - MIN(discount_rates))), "")</f>
        <v>3.105263158</v>
      </c>
      <c r="EF241" s="114" t="str">
        <f>IF(Q241="Debt", (1+((S241-MIN(interest_rates))*(4)/(MAX(interest_rates) - MIN(interest_rates)))), "")</f>
        <v/>
      </c>
      <c r="EG241" s="114" t="str">
        <f>IF(OR(Q241="Revenue Share", Q241="Profit Share"), (1+((R241-MIN(return_mutiples))*(4)/(MAX(return_mutiples) - MIN(return_mutiples)))), "")</f>
        <v/>
      </c>
      <c r="EH241" s="115">
        <f t="shared" si="18"/>
        <v>4.6</v>
      </c>
      <c r="EI241" s="116" t="str">
        <f t="shared" si="19"/>
        <v>Convertible Note</v>
      </c>
      <c r="EJ241" s="117">
        <f t="shared" si="20"/>
        <v>0.1232876712</v>
      </c>
      <c r="EK241" s="116" t="str">
        <f t="shared" si="21"/>
        <v>Early</v>
      </c>
      <c r="EL241" s="112"/>
      <c r="EM241" s="118">
        <f t="shared" si="22"/>
        <v>4.4</v>
      </c>
      <c r="EN241" s="118">
        <f t="shared" si="23"/>
        <v>1.7</v>
      </c>
      <c r="EO241" s="119">
        <f t="shared" si="24"/>
        <v>6.1</v>
      </c>
      <c r="EP241" s="115">
        <f>1+((EO241-MIN(market_ratings_sums))*(4)/(MAX(market_ratings_sums) - MIN(market_ratings_sums)))</f>
        <v>3.385964912</v>
      </c>
      <c r="EQ241" s="116" t="str">
        <f t="shared" si="25"/>
        <v>No</v>
      </c>
      <c r="ER241" s="112"/>
      <c r="ES241" s="123">
        <f>1+((DX241-MIN(industry_experiences))*(4)/(MAX(industry_experiences) - MIN(industry_experiences)))</f>
        <v>1.666666667</v>
      </c>
      <c r="ET241" s="123">
        <f>1+((DY241-MIN(previous_startups))*(4)/(MAX(previous_startups) - MIN(previous_startups)))</f>
        <v>1</v>
      </c>
      <c r="EU241" s="123">
        <f>1+((DZ241-MIN(exits))*(4)/(MAX(exits) - MIN(exits)))</f>
        <v>1</v>
      </c>
      <c r="EV241" s="119">
        <f t="shared" si="26"/>
        <v>3.666666667</v>
      </c>
      <c r="EW241" s="124">
        <f>1+((EV241-MIN(team_ratings_sums))*(4)/(MAX(team_ratings_sums) - MIN(team_ratings_sums)))</f>
        <v>1.365217391</v>
      </c>
      <c r="EX241" s="116" t="str">
        <f t="shared" si="27"/>
        <v>35 - 54</v>
      </c>
      <c r="EY241" s="125">
        <f t="shared" si="28"/>
        <v>0.6849315068</v>
      </c>
      <c r="EZ241" s="116">
        <f t="shared" si="29"/>
        <v>2</v>
      </c>
      <c r="FA241" s="125">
        <f t="shared" si="30"/>
        <v>0.4520547945</v>
      </c>
      <c r="FB241" s="116">
        <f t="shared" si="31"/>
        <v>5</v>
      </c>
      <c r="FC241" s="125">
        <f t="shared" si="32"/>
        <v>0.1369863014</v>
      </c>
      <c r="FD241" s="116" t="str">
        <f t="shared" si="33"/>
        <v>Yes</v>
      </c>
      <c r="FE241" s="125">
        <f t="shared" si="34"/>
        <v>0.2465753425</v>
      </c>
      <c r="FF241" s="116" t="str">
        <f t="shared" ref="FF241:FH241" si="542">BJ241</f>
        <v>No</v>
      </c>
      <c r="FG241" s="116" t="str">
        <f t="shared" si="542"/>
        <v>No</v>
      </c>
      <c r="FH241" s="116" t="str">
        <f t="shared" si="542"/>
        <v>No</v>
      </c>
      <c r="FI241" s="112"/>
      <c r="FJ241" s="116" t="str">
        <f t="shared" si="36"/>
        <v>Recurring</v>
      </c>
      <c r="FK241" s="125">
        <f t="shared" si="37"/>
        <v>0.397260274</v>
      </c>
      <c r="FL241" s="116" t="str">
        <f t="shared" si="38"/>
        <v>B2B2C</v>
      </c>
      <c r="FM241" s="125">
        <f t="shared" si="39"/>
        <v>0.02739726027</v>
      </c>
      <c r="FN241" s="116" t="str">
        <f t="shared" si="40"/>
        <v>High</v>
      </c>
      <c r="FO241" s="125">
        <f t="shared" si="41"/>
        <v>0.5616438356</v>
      </c>
      <c r="FP241" s="116" t="str">
        <f t="shared" si="42"/>
        <v>Low</v>
      </c>
      <c r="FQ241" s="125">
        <f t="shared" si="43"/>
        <v>0.3561643836</v>
      </c>
      <c r="FR241" s="112"/>
      <c r="FS241" s="123">
        <f t="shared" si="44"/>
        <v>5</v>
      </c>
      <c r="FT241" s="123">
        <f t="shared" si="45"/>
        <v>1</v>
      </c>
      <c r="FU241" s="123">
        <f t="shared" si="46"/>
        <v>5</v>
      </c>
      <c r="FV241" s="123">
        <f t="shared" si="47"/>
        <v>3.7</v>
      </c>
      <c r="FW241" s="119">
        <f t="shared" si="48"/>
        <v>14.7</v>
      </c>
      <c r="FX241" s="115">
        <f>1+((FW241-MIN(performance_ratings_sums))*(4)/(MAX(performance_ratings_sums) - MIN(performance_ratings_sums)))</f>
        <v>3.990654206</v>
      </c>
      <c r="FY241" s="116" t="str">
        <f t="shared" si="49"/>
        <v>Pre-Profit</v>
      </c>
      <c r="FZ241" s="126">
        <f t="shared" si="50"/>
        <v>0.4931506849</v>
      </c>
      <c r="GA241" s="112"/>
      <c r="GB241" s="127">
        <f t="shared" si="51"/>
        <v>5</v>
      </c>
      <c r="GC241" s="116" t="str">
        <f t="shared" si="52"/>
        <v>No</v>
      </c>
      <c r="GD241" s="126">
        <f t="shared" si="53"/>
        <v>0.7671232877</v>
      </c>
      <c r="GE241" s="126" t="str">
        <f t="shared" si="54"/>
        <v/>
      </c>
      <c r="GF241" s="126">
        <f t="shared" si="55"/>
        <v>0</v>
      </c>
      <c r="GG241" s="126" t="str">
        <f t="shared" si="56"/>
        <v/>
      </c>
      <c r="GH241" s="126">
        <f t="shared" si="57"/>
        <v>0</v>
      </c>
      <c r="GI241" s="112"/>
      <c r="GJ241" s="116"/>
      <c r="GK241" s="119">
        <f t="shared" si="58"/>
        <v>18.34183651</v>
      </c>
      <c r="GL241" s="128">
        <f>1+((GK241-MIN(ratings_sums))*(4)/(MAX(ratings_sums) - MIN(ratings_sums)))</f>
        <v>4.420604718</v>
      </c>
    </row>
    <row r="242" ht="15.75" customHeight="1">
      <c r="A242" s="161" t="s">
        <v>1128</v>
      </c>
      <c r="B242" s="15">
        <v>1797607.0</v>
      </c>
      <c r="C242" s="162" t="s">
        <v>1563</v>
      </c>
      <c r="D242" s="209">
        <v>43861.70347222222</v>
      </c>
      <c r="E242" s="15" t="s">
        <v>392</v>
      </c>
      <c r="F242" s="164" t="s">
        <v>1564</v>
      </c>
      <c r="G242" s="164" t="s">
        <v>1565</v>
      </c>
      <c r="H242" s="210">
        <v>43847.0</v>
      </c>
      <c r="I242" s="162" t="s">
        <v>1566</v>
      </c>
      <c r="J242" s="162" t="s">
        <v>1563</v>
      </c>
      <c r="K242" s="15" t="s">
        <v>448</v>
      </c>
      <c r="L242" s="15" t="s">
        <v>390</v>
      </c>
      <c r="M242" s="15" t="s">
        <v>31</v>
      </c>
      <c r="N242" s="15" t="s">
        <v>82</v>
      </c>
      <c r="O242" s="15" t="s">
        <v>35</v>
      </c>
      <c r="Q242" s="15" t="s">
        <v>195</v>
      </c>
      <c r="R242" s="166"/>
      <c r="S242" s="120"/>
      <c r="T242" s="69"/>
      <c r="U242" s="69">
        <v>5500000.0</v>
      </c>
      <c r="V242" s="132">
        <v>0.0</v>
      </c>
      <c r="W242" s="96">
        <f t="shared" si="125"/>
        <v>5500000</v>
      </c>
      <c r="X242" s="98">
        <f t="shared" si="126"/>
        <v>5500000</v>
      </c>
      <c r="Y242" s="99" t="str">
        <f t="shared" si="127"/>
        <v>$4M - $6M</v>
      </c>
      <c r="Z242" s="15" t="s">
        <v>36</v>
      </c>
      <c r="AA242" s="15" t="s">
        <v>87</v>
      </c>
      <c r="AB242" s="15" t="s">
        <v>38</v>
      </c>
      <c r="AC242" s="15" t="s">
        <v>493</v>
      </c>
      <c r="AD242" s="15" t="s">
        <v>39</v>
      </c>
      <c r="AE242" s="15" t="s">
        <v>89</v>
      </c>
      <c r="AF242" s="15" t="s">
        <v>469</v>
      </c>
      <c r="AG242" s="69">
        <v>1.708E10</v>
      </c>
      <c r="AH242" s="97" t="str">
        <f t="shared" si="128"/>
        <v>$10B-$25B</v>
      </c>
      <c r="AI242" s="69">
        <v>1.708E10</v>
      </c>
      <c r="AJ242" s="97" t="str">
        <f t="shared" si="129"/>
        <v>$10B-$25B</v>
      </c>
      <c r="AK242" s="167">
        <v>0.03</v>
      </c>
      <c r="AL242" s="88" t="str">
        <f t="shared" si="130"/>
        <v>0%-10%</v>
      </c>
      <c r="AM242" s="15">
        <v>14.0</v>
      </c>
      <c r="AN242" s="15" t="s">
        <v>89</v>
      </c>
      <c r="AO242" s="15" t="s">
        <v>89</v>
      </c>
      <c r="AP242" s="15" t="s">
        <v>40</v>
      </c>
      <c r="AQ242" s="168"/>
      <c r="AR242" s="168"/>
      <c r="AS242" s="15" t="s">
        <v>469</v>
      </c>
      <c r="AT242" s="15" t="s">
        <v>469</v>
      </c>
      <c r="AU242" s="15" t="s">
        <v>469</v>
      </c>
      <c r="AV242" s="15" t="s">
        <v>469</v>
      </c>
      <c r="AW242" s="69">
        <v>0.0</v>
      </c>
      <c r="AX242" s="96" t="str">
        <f t="shared" si="131"/>
        <v>&lt; $10K</v>
      </c>
      <c r="AY242" s="69">
        <v>0.0</v>
      </c>
      <c r="AZ242" s="69">
        <v>160000.0</v>
      </c>
      <c r="BA242" s="103" t="str">
        <f t="shared" si="132"/>
        <v>$100K - $500K</v>
      </c>
      <c r="BB242" s="103">
        <f t="shared" si="133"/>
        <v>1</v>
      </c>
      <c r="BC242" s="103" t="str">
        <f t="shared" si="134"/>
        <v>90% - 100%</v>
      </c>
      <c r="BD242" s="15" t="s">
        <v>91</v>
      </c>
      <c r="BF242" s="15" t="s">
        <v>493</v>
      </c>
      <c r="BG242" s="15">
        <v>0.0</v>
      </c>
      <c r="BH242" s="15">
        <v>2.0</v>
      </c>
      <c r="BI242" s="15" t="s">
        <v>493</v>
      </c>
      <c r="BJ242" s="15" t="s">
        <v>493</v>
      </c>
      <c r="BK242" s="15" t="s">
        <v>469</v>
      </c>
      <c r="BL242" s="15" t="s">
        <v>469</v>
      </c>
      <c r="BM242" s="15">
        <v>3.0</v>
      </c>
      <c r="BN242" s="15">
        <v>2.0</v>
      </c>
      <c r="BO242" s="15">
        <v>0.0</v>
      </c>
      <c r="BP242" s="15">
        <v>0.0</v>
      </c>
      <c r="BQ242" s="108"/>
      <c r="BR242" s="15">
        <v>7.0</v>
      </c>
      <c r="BS242" s="15">
        <v>1.0</v>
      </c>
      <c r="BT242" s="15">
        <v>1.0</v>
      </c>
      <c r="BU242" s="15">
        <v>29.0</v>
      </c>
      <c r="BV242" s="15" t="s">
        <v>493</v>
      </c>
      <c r="BW242" s="108"/>
      <c r="BX242" s="15">
        <v>10.0</v>
      </c>
      <c r="BY242" s="15">
        <v>2.0</v>
      </c>
      <c r="BZ242" s="15">
        <v>1.0</v>
      </c>
      <c r="CA242" s="15">
        <v>36.0</v>
      </c>
      <c r="CB242" s="15" t="s">
        <v>469</v>
      </c>
      <c r="CC242" s="108"/>
      <c r="CI242" s="108"/>
      <c r="CO242" s="108"/>
      <c r="CU242" s="108"/>
      <c r="DA242" s="108"/>
      <c r="DG242" s="108"/>
      <c r="DM242" s="108"/>
      <c r="DS242" s="108"/>
      <c r="DT242" s="108"/>
      <c r="DU242" s="108"/>
      <c r="DW242" s="109"/>
      <c r="DX242" s="110">
        <f t="shared" si="13"/>
        <v>8.5</v>
      </c>
      <c r="DY242" s="111">
        <f t="shared" ref="DY242:DZ242" si="543">sum(BS242,BY242,CE242,CK242,CQ242,CW242,DC242,DI242,DO242)</f>
        <v>3</v>
      </c>
      <c r="DZ242" s="111">
        <f t="shared" si="543"/>
        <v>2</v>
      </c>
      <c r="EA242" s="110">
        <f t="shared" si="15"/>
        <v>32.5</v>
      </c>
      <c r="EB242" s="99" t="str">
        <f t="shared" si="16"/>
        <v>20 - 34</v>
      </c>
      <c r="EC242" s="112"/>
      <c r="ED242" s="113">
        <f t="shared" si="17"/>
        <v>4.4</v>
      </c>
      <c r="EE242" s="114">
        <f>IF(V242 &lt;&gt; "", 1+((V242-MIN(discount_rates))*(4)/(MAX(discount_rates) - MIN(discount_rates))), "")</f>
        <v>1</v>
      </c>
      <c r="EF242" s="114" t="str">
        <f>IF(Q242="Debt", (1+((S242-MIN(interest_rates))*(4)/(MAX(interest_rates) - MIN(interest_rates)))), "")</f>
        <v/>
      </c>
      <c r="EG242" s="114" t="str">
        <f>IF(OR(Q242="Revenue Share", Q242="Profit Share"), (1+((R242-MIN(return_mutiples))*(4)/(MAX(return_mutiples) - MIN(return_mutiples)))), "")</f>
        <v/>
      </c>
      <c r="EH242" s="115">
        <f t="shared" si="18"/>
        <v>4.4</v>
      </c>
      <c r="EI242" s="116" t="str">
        <f t="shared" si="19"/>
        <v>SAFE</v>
      </c>
      <c r="EJ242" s="117">
        <f t="shared" si="20"/>
        <v>0.3561643836</v>
      </c>
      <c r="EK242" s="116" t="str">
        <f t="shared" si="21"/>
        <v>Early</v>
      </c>
      <c r="EL242" s="112"/>
      <c r="EM242" s="118">
        <f t="shared" si="22"/>
        <v>3.3</v>
      </c>
      <c r="EN242" s="118">
        <f t="shared" si="23"/>
        <v>1.7</v>
      </c>
      <c r="EO242" s="119">
        <f t="shared" si="24"/>
        <v>5</v>
      </c>
      <c r="EP242" s="115">
        <f>1+((EO242-MIN(market_ratings_sums))*(4)/(MAX(market_ratings_sums) - MIN(market_ratings_sums)))</f>
        <v>2.614035088</v>
      </c>
      <c r="EQ242" s="116" t="str">
        <f t="shared" si="25"/>
        <v>No</v>
      </c>
      <c r="ER242" s="112"/>
      <c r="ES242" s="123">
        <f>1+((DX242-MIN(industry_experiences))*(4)/(MAX(industry_experiences) - MIN(industry_experiences)))</f>
        <v>1.80952381</v>
      </c>
      <c r="ET242" s="123">
        <f>1+((DY242-MIN(previous_startups))*(4)/(MAX(previous_startups) - MIN(previous_startups)))</f>
        <v>2.333333333</v>
      </c>
      <c r="EU242" s="123">
        <f>1+((DZ242-MIN(exits))*(4)/(MAX(exits) - MIN(exits)))</f>
        <v>3</v>
      </c>
      <c r="EV242" s="119">
        <f t="shared" si="26"/>
        <v>7.142857143</v>
      </c>
      <c r="EW242" s="124">
        <f>1+((EV242-MIN(team_ratings_sums))*(4)/(MAX(team_ratings_sums) - MIN(team_ratings_sums)))</f>
        <v>3.269565217</v>
      </c>
      <c r="EX242" s="116" t="str">
        <f t="shared" si="27"/>
        <v>20 - 34</v>
      </c>
      <c r="EY242" s="125">
        <f t="shared" si="28"/>
        <v>0.2054794521</v>
      </c>
      <c r="EZ242" s="116">
        <f t="shared" si="29"/>
        <v>2</v>
      </c>
      <c r="FA242" s="125">
        <f t="shared" si="30"/>
        <v>0.4520547945</v>
      </c>
      <c r="FB242" s="116">
        <f t="shared" si="31"/>
        <v>2</v>
      </c>
      <c r="FC242" s="125">
        <f t="shared" si="32"/>
        <v>0.1369863014</v>
      </c>
      <c r="FD242" s="116" t="str">
        <f t="shared" si="33"/>
        <v>Yes</v>
      </c>
      <c r="FE242" s="125">
        <f t="shared" si="34"/>
        <v>0.2465753425</v>
      </c>
      <c r="FF242" s="116" t="str">
        <f t="shared" ref="FF242:FH242" si="544">BJ242</f>
        <v>Yes</v>
      </c>
      <c r="FG242" s="116" t="str">
        <f t="shared" si="544"/>
        <v>No</v>
      </c>
      <c r="FH242" s="116" t="str">
        <f t="shared" si="544"/>
        <v>No</v>
      </c>
      <c r="FI242" s="112"/>
      <c r="FJ242" s="116" t="str">
        <f t="shared" si="36"/>
        <v>Transactional</v>
      </c>
      <c r="FK242" s="125">
        <f t="shared" si="37"/>
        <v>0.602739726</v>
      </c>
      <c r="FL242" s="116" t="str">
        <f t="shared" si="38"/>
        <v>B2C</v>
      </c>
      <c r="FM242" s="125">
        <f t="shared" si="39"/>
        <v>0.397260274</v>
      </c>
      <c r="FN242" s="116" t="str">
        <f t="shared" si="40"/>
        <v>High</v>
      </c>
      <c r="FO242" s="125">
        <f t="shared" si="41"/>
        <v>0.5616438356</v>
      </c>
      <c r="FP242" s="116" t="str">
        <f t="shared" si="42"/>
        <v>Low</v>
      </c>
      <c r="FQ242" s="125">
        <f t="shared" si="43"/>
        <v>0.3561643836</v>
      </c>
      <c r="FR242" s="112"/>
      <c r="FS242" s="123">
        <f t="shared" si="44"/>
        <v>1</v>
      </c>
      <c r="FT242" s="123">
        <f t="shared" si="45"/>
        <v>1</v>
      </c>
      <c r="FU242" s="123">
        <f t="shared" si="46"/>
        <v>1</v>
      </c>
      <c r="FV242" s="123">
        <f t="shared" si="47"/>
        <v>3.7</v>
      </c>
      <c r="FW242" s="119">
        <f t="shared" si="48"/>
        <v>6.7</v>
      </c>
      <c r="FX242" s="115">
        <f>1+((FW242-MIN(performance_ratings_sums))*(4)/(MAX(performance_ratings_sums) - MIN(performance_ratings_sums)))</f>
        <v>1</v>
      </c>
      <c r="FY242" s="116" t="str">
        <f t="shared" si="49"/>
        <v>Pre-Revenue</v>
      </c>
      <c r="FZ242" s="126">
        <f t="shared" si="50"/>
        <v>0.2054794521</v>
      </c>
      <c r="GA242" s="112"/>
      <c r="GB242" s="127">
        <f t="shared" si="51"/>
        <v>1</v>
      </c>
      <c r="GC242" s="116" t="str">
        <f t="shared" si="52"/>
        <v>No</v>
      </c>
      <c r="GD242" s="126">
        <f t="shared" si="53"/>
        <v>0.7671232877</v>
      </c>
      <c r="GE242" s="126" t="str">
        <f t="shared" si="54"/>
        <v/>
      </c>
      <c r="GF242" s="126">
        <f t="shared" si="55"/>
        <v>0</v>
      </c>
      <c r="GG242" s="126" t="str">
        <f t="shared" si="56"/>
        <v/>
      </c>
      <c r="GH242" s="126">
        <f t="shared" si="57"/>
        <v>0</v>
      </c>
      <c r="GI242" s="112"/>
      <c r="GJ242" s="116"/>
      <c r="GK242" s="119">
        <f t="shared" si="58"/>
        <v>12.28360031</v>
      </c>
      <c r="GL242" s="128">
        <f>1+((GK242-MIN(ratings_sums))*(4)/(MAX(ratings_sums) - MIN(ratings_sums)))</f>
        <v>2.561695719</v>
      </c>
    </row>
    <row r="243" ht="15.75" customHeight="1">
      <c r="A243" s="161" t="s">
        <v>1128</v>
      </c>
      <c r="B243" s="15">
        <v>1794960.0</v>
      </c>
      <c r="C243" s="162" t="s">
        <v>1567</v>
      </c>
      <c r="D243" s="209">
        <v>43864.53125</v>
      </c>
      <c r="E243" s="15" t="s">
        <v>369</v>
      </c>
      <c r="F243" s="164" t="s">
        <v>1568</v>
      </c>
      <c r="G243" s="164" t="s">
        <v>1569</v>
      </c>
      <c r="H243" s="210">
        <v>43861.0</v>
      </c>
      <c r="I243" s="162" t="s">
        <v>1570</v>
      </c>
      <c r="J243" s="162" t="s">
        <v>1567</v>
      </c>
      <c r="K243" s="15" t="s">
        <v>153</v>
      </c>
      <c r="L243" s="15" t="s">
        <v>349</v>
      </c>
      <c r="M243" s="15" t="s">
        <v>31</v>
      </c>
      <c r="N243" s="15" t="s">
        <v>101</v>
      </c>
      <c r="O243" s="15" t="s">
        <v>35</v>
      </c>
      <c r="Q243" s="15" t="s">
        <v>195</v>
      </c>
      <c r="R243" s="166"/>
      <c r="S243" s="120"/>
      <c r="T243" s="69"/>
      <c r="U243" s="69">
        <v>1.0E7</v>
      </c>
      <c r="V243" s="132">
        <v>0.0</v>
      </c>
      <c r="W243" s="96">
        <f t="shared" si="125"/>
        <v>10000000</v>
      </c>
      <c r="X243" s="98">
        <f t="shared" si="126"/>
        <v>10000000</v>
      </c>
      <c r="Y243" s="99" t="str">
        <f t="shared" si="127"/>
        <v>$8M - $10M</v>
      </c>
      <c r="Z243" s="15" t="s">
        <v>36</v>
      </c>
      <c r="AA243" s="15" t="s">
        <v>123</v>
      </c>
      <c r="AB243" s="15" t="s">
        <v>38</v>
      </c>
      <c r="AC243" s="15" t="s">
        <v>493</v>
      </c>
      <c r="AD243" s="15" t="s">
        <v>39</v>
      </c>
      <c r="AE243" s="15" t="s">
        <v>89</v>
      </c>
      <c r="AF243" s="15" t="s">
        <v>493</v>
      </c>
      <c r="AG243" s="69">
        <v>6.963E11</v>
      </c>
      <c r="AH243" s="97" t="str">
        <f t="shared" si="128"/>
        <v>$500B-$1T</v>
      </c>
      <c r="AI243" s="69">
        <v>6.963E11</v>
      </c>
      <c r="AJ243" s="97" t="str">
        <f t="shared" si="129"/>
        <v>$500B-$1T</v>
      </c>
      <c r="AK243" s="167">
        <v>0.12</v>
      </c>
      <c r="AL243" s="88" t="str">
        <f t="shared" si="130"/>
        <v>10%-20%</v>
      </c>
      <c r="AM243" s="15">
        <v>5.0</v>
      </c>
      <c r="AN243" s="15" t="s">
        <v>89</v>
      </c>
      <c r="AO243" s="15" t="s">
        <v>89</v>
      </c>
      <c r="AP243" s="15" t="s">
        <v>40</v>
      </c>
      <c r="AQ243" s="168"/>
      <c r="AR243" s="168"/>
      <c r="AS243" s="15" t="s">
        <v>469</v>
      </c>
      <c r="AT243" s="15" t="s">
        <v>469</v>
      </c>
      <c r="AU243" s="15" t="s">
        <v>469</v>
      </c>
      <c r="AV243" s="15" t="s">
        <v>469</v>
      </c>
      <c r="AW243" s="69">
        <v>0.0</v>
      </c>
      <c r="AX243" s="96" t="str">
        <f t="shared" si="131"/>
        <v>&lt; $10K</v>
      </c>
      <c r="AY243" s="69">
        <v>55308.0</v>
      </c>
      <c r="AZ243" s="69">
        <v>2100000.0</v>
      </c>
      <c r="BA243" s="103" t="str">
        <f t="shared" si="132"/>
        <v>$2M - $3M</v>
      </c>
      <c r="BB243" s="103">
        <f t="shared" si="133"/>
        <v>0.02633714286</v>
      </c>
      <c r="BC243" s="103" t="str">
        <f t="shared" si="134"/>
        <v>&lt; 10%</v>
      </c>
      <c r="BD243" s="15" t="s">
        <v>91</v>
      </c>
      <c r="BF243" s="15" t="s">
        <v>493</v>
      </c>
      <c r="BG243" s="15">
        <v>0.0</v>
      </c>
      <c r="BH243" s="15">
        <v>1.0</v>
      </c>
      <c r="BI243" s="15" t="s">
        <v>469</v>
      </c>
      <c r="BJ243" s="15" t="s">
        <v>493</v>
      </c>
      <c r="BK243" s="15" t="s">
        <v>469</v>
      </c>
      <c r="BL243" s="15" t="s">
        <v>469</v>
      </c>
      <c r="BM243" s="15">
        <v>2.0</v>
      </c>
      <c r="BN243" s="15">
        <v>6.0</v>
      </c>
      <c r="BO243" s="15">
        <v>7.0</v>
      </c>
      <c r="BP243" s="15">
        <v>0.0</v>
      </c>
      <c r="BQ243" s="108"/>
      <c r="BR243" s="15">
        <v>0.0</v>
      </c>
      <c r="BS243" s="15">
        <v>2.0</v>
      </c>
      <c r="BT243" s="15">
        <v>0.0</v>
      </c>
      <c r="BU243" s="15">
        <v>51.0</v>
      </c>
      <c r="BV243" s="15" t="s">
        <v>469</v>
      </c>
      <c r="BW243" s="108"/>
      <c r="CC243" s="108"/>
      <c r="CI243" s="108"/>
      <c r="CO243" s="108"/>
      <c r="CU243" s="108"/>
      <c r="DA243" s="108"/>
      <c r="DG243" s="108"/>
      <c r="DM243" s="108"/>
      <c r="DS243" s="108"/>
      <c r="DT243" s="108"/>
      <c r="DU243" s="108"/>
      <c r="DW243" s="109"/>
      <c r="DX243" s="110">
        <f t="shared" si="13"/>
        <v>0</v>
      </c>
      <c r="DY243" s="111">
        <f t="shared" ref="DY243:DZ243" si="545">sum(BS243,BY243,CE243,CK243,CQ243,CW243,DC243,DI243,DO243)</f>
        <v>2</v>
      </c>
      <c r="DZ243" s="111">
        <f t="shared" si="545"/>
        <v>0</v>
      </c>
      <c r="EA243" s="110">
        <f t="shared" si="15"/>
        <v>51</v>
      </c>
      <c r="EB243" s="99" t="str">
        <f t="shared" si="16"/>
        <v>35 - 54</v>
      </c>
      <c r="EC243" s="112"/>
      <c r="ED243" s="113">
        <f t="shared" si="17"/>
        <v>4</v>
      </c>
      <c r="EE243" s="114">
        <f>IF(V243 &lt;&gt; "", 1+((V243-MIN(discount_rates))*(4)/(MAX(discount_rates) - MIN(discount_rates))), "")</f>
        <v>1</v>
      </c>
      <c r="EF243" s="114" t="str">
        <f>IF(Q243="Debt", (1+((S243-MIN(interest_rates))*(4)/(MAX(interest_rates) - MIN(interest_rates)))), "")</f>
        <v/>
      </c>
      <c r="EG243" s="114" t="str">
        <f>IF(OR(Q243="Revenue Share", Q243="Profit Share"), (1+((R243-MIN(return_mutiples))*(4)/(MAX(return_mutiples) - MIN(return_mutiples)))), "")</f>
        <v/>
      </c>
      <c r="EH243" s="115">
        <f t="shared" si="18"/>
        <v>4</v>
      </c>
      <c r="EI243" s="116" t="str">
        <f t="shared" si="19"/>
        <v>SAFE</v>
      </c>
      <c r="EJ243" s="117">
        <f t="shared" si="20"/>
        <v>0.3561643836</v>
      </c>
      <c r="EK243" s="116" t="str">
        <f t="shared" si="21"/>
        <v>Early</v>
      </c>
      <c r="EL243" s="112"/>
      <c r="EM243" s="118">
        <f t="shared" si="22"/>
        <v>4.7</v>
      </c>
      <c r="EN243" s="118">
        <f t="shared" si="23"/>
        <v>2.3</v>
      </c>
      <c r="EO243" s="119">
        <f t="shared" si="24"/>
        <v>7</v>
      </c>
      <c r="EP243" s="115">
        <f>1+((EO243-MIN(market_ratings_sums))*(4)/(MAX(market_ratings_sums) - MIN(market_ratings_sums)))</f>
        <v>4.01754386</v>
      </c>
      <c r="EQ243" s="116" t="str">
        <f t="shared" si="25"/>
        <v>No</v>
      </c>
      <c r="ER243" s="112"/>
      <c r="ES243" s="123">
        <f>1+((DX243-MIN(industry_experiences))*(4)/(MAX(industry_experiences) - MIN(industry_experiences)))</f>
        <v>1</v>
      </c>
      <c r="ET243" s="123">
        <f>1+((DY243-MIN(previous_startups))*(4)/(MAX(previous_startups) - MIN(previous_startups)))</f>
        <v>1.888888889</v>
      </c>
      <c r="EU243" s="123">
        <f>1+((DZ243-MIN(exits))*(4)/(MAX(exits) - MIN(exits)))</f>
        <v>1</v>
      </c>
      <c r="EV243" s="119">
        <f t="shared" si="26"/>
        <v>3.888888889</v>
      </c>
      <c r="EW243" s="124">
        <f>1+((EV243-MIN(team_ratings_sums))*(4)/(MAX(team_ratings_sums) - MIN(team_ratings_sums)))</f>
        <v>1.486956522</v>
      </c>
      <c r="EX243" s="116" t="str">
        <f t="shared" si="27"/>
        <v>35 - 54</v>
      </c>
      <c r="EY243" s="125">
        <f t="shared" si="28"/>
        <v>0.6849315068</v>
      </c>
      <c r="EZ243" s="116">
        <f t="shared" si="29"/>
        <v>1</v>
      </c>
      <c r="FA243" s="125">
        <f t="shared" si="30"/>
        <v>0.4383561644</v>
      </c>
      <c r="FB243" s="116">
        <f t="shared" si="31"/>
        <v>6</v>
      </c>
      <c r="FC243" s="125">
        <f t="shared" si="32"/>
        <v>0.06849315068</v>
      </c>
      <c r="FD243" s="116" t="str">
        <f t="shared" si="33"/>
        <v>No</v>
      </c>
      <c r="FE243" s="125">
        <f t="shared" si="34"/>
        <v>0.7534246575</v>
      </c>
      <c r="FF243" s="116" t="str">
        <f t="shared" ref="FF243:FH243" si="546">BJ243</f>
        <v>Yes</v>
      </c>
      <c r="FG243" s="116" t="str">
        <f t="shared" si="546"/>
        <v>No</v>
      </c>
      <c r="FH243" s="116" t="str">
        <f t="shared" si="546"/>
        <v>No</v>
      </c>
      <c r="FI243" s="112"/>
      <c r="FJ243" s="116" t="str">
        <f t="shared" si="36"/>
        <v>Transactional</v>
      </c>
      <c r="FK243" s="125">
        <f t="shared" si="37"/>
        <v>0.602739726</v>
      </c>
      <c r="FL243" s="116" t="str">
        <f t="shared" si="38"/>
        <v>B2B/B2C</v>
      </c>
      <c r="FM243" s="125">
        <f t="shared" si="39"/>
        <v>0.3287671233</v>
      </c>
      <c r="FN243" s="116" t="str">
        <f t="shared" si="40"/>
        <v>High</v>
      </c>
      <c r="FO243" s="125">
        <f t="shared" si="41"/>
        <v>0.5616438356</v>
      </c>
      <c r="FP243" s="116" t="str">
        <f t="shared" si="42"/>
        <v>Low</v>
      </c>
      <c r="FQ243" s="125">
        <f t="shared" si="43"/>
        <v>0.3561643836</v>
      </c>
      <c r="FR243" s="112"/>
      <c r="FS243" s="123">
        <f t="shared" si="44"/>
        <v>1</v>
      </c>
      <c r="FT243" s="123">
        <f t="shared" si="45"/>
        <v>1</v>
      </c>
      <c r="FU243" s="123">
        <f t="shared" si="46"/>
        <v>5</v>
      </c>
      <c r="FV243" s="123">
        <f t="shared" si="47"/>
        <v>2.3</v>
      </c>
      <c r="FW243" s="119">
        <f t="shared" si="48"/>
        <v>9.3</v>
      </c>
      <c r="FX243" s="115">
        <f>1+((FW243-MIN(performance_ratings_sums))*(4)/(MAX(performance_ratings_sums) - MIN(performance_ratings_sums)))</f>
        <v>1.971962617</v>
      </c>
      <c r="FY243" s="116" t="str">
        <f t="shared" si="49"/>
        <v>Pre-Revenue</v>
      </c>
      <c r="FZ243" s="126">
        <f t="shared" si="50"/>
        <v>0.2054794521</v>
      </c>
      <c r="GA243" s="112"/>
      <c r="GB243" s="127">
        <f t="shared" si="51"/>
        <v>1</v>
      </c>
      <c r="GC243" s="116" t="str">
        <f t="shared" si="52"/>
        <v>No</v>
      </c>
      <c r="GD243" s="126">
        <f t="shared" si="53"/>
        <v>0.7671232877</v>
      </c>
      <c r="GE243" s="126" t="str">
        <f t="shared" si="54"/>
        <v/>
      </c>
      <c r="GF243" s="126">
        <f t="shared" si="55"/>
        <v>0</v>
      </c>
      <c r="GG243" s="126" t="str">
        <f t="shared" si="56"/>
        <v/>
      </c>
      <c r="GH243" s="126">
        <f t="shared" si="57"/>
        <v>0</v>
      </c>
      <c r="GI243" s="112"/>
      <c r="GJ243" s="116"/>
      <c r="GK243" s="119">
        <f t="shared" si="58"/>
        <v>12.476463</v>
      </c>
      <c r="GL243" s="128">
        <f>1+((GK243-MIN(ratings_sums))*(4)/(MAX(ratings_sums) - MIN(ratings_sums)))</f>
        <v>2.620873701</v>
      </c>
    </row>
    <row r="244" ht="15.75" customHeight="1">
      <c r="A244" s="161" t="s">
        <v>1128</v>
      </c>
      <c r="B244" s="15">
        <v>1799973.0</v>
      </c>
      <c r="C244" s="162" t="s">
        <v>1571</v>
      </c>
      <c r="D244" s="209">
        <v>43864.53333333333</v>
      </c>
      <c r="E244" s="15" t="s">
        <v>369</v>
      </c>
      <c r="F244" s="164" t="s">
        <v>1572</v>
      </c>
      <c r="G244" s="164" t="s">
        <v>1573</v>
      </c>
      <c r="H244" s="210">
        <v>43861.0</v>
      </c>
      <c r="I244" s="162" t="s">
        <v>1574</v>
      </c>
      <c r="J244" s="162" t="s">
        <v>1571</v>
      </c>
      <c r="K244" s="15" t="s">
        <v>505</v>
      </c>
      <c r="L244" s="15" t="s">
        <v>390</v>
      </c>
      <c r="M244" s="15" t="s">
        <v>31</v>
      </c>
      <c r="N244" s="15" t="s">
        <v>32</v>
      </c>
      <c r="O244" s="15" t="s">
        <v>35</v>
      </c>
      <c r="Q244" s="15" t="s">
        <v>195</v>
      </c>
      <c r="R244" s="166"/>
      <c r="S244" s="120"/>
      <c r="T244" s="69"/>
      <c r="U244" s="69">
        <v>4000000.0</v>
      </c>
      <c r="V244" s="132">
        <v>0.2</v>
      </c>
      <c r="W244" s="96">
        <f t="shared" si="125"/>
        <v>3200000</v>
      </c>
      <c r="X244" s="98">
        <f t="shared" si="126"/>
        <v>3200000</v>
      </c>
      <c r="Y244" s="99" t="str">
        <f t="shared" si="127"/>
        <v>$2M - $4M</v>
      </c>
      <c r="Z244" s="15" t="s">
        <v>86</v>
      </c>
      <c r="AA244" s="15" t="s">
        <v>123</v>
      </c>
      <c r="AB244" s="15" t="s">
        <v>38</v>
      </c>
      <c r="AC244" s="15" t="s">
        <v>493</v>
      </c>
      <c r="AD244" s="15" t="s">
        <v>89</v>
      </c>
      <c r="AE244" s="15" t="s">
        <v>89</v>
      </c>
      <c r="AF244" s="15" t="s">
        <v>493</v>
      </c>
      <c r="AG244" s="69">
        <v>1.2274E11</v>
      </c>
      <c r="AH244" s="97" t="str">
        <f t="shared" si="128"/>
        <v>$100B-$250B</v>
      </c>
      <c r="AI244" s="69">
        <v>2.399E10</v>
      </c>
      <c r="AJ244" s="97" t="str">
        <f t="shared" si="129"/>
        <v>$10B-$25B</v>
      </c>
      <c r="AK244" s="167">
        <v>0.09</v>
      </c>
      <c r="AL244" s="88" t="str">
        <f t="shared" si="130"/>
        <v>0%-10%</v>
      </c>
      <c r="AM244" s="15">
        <v>4.0</v>
      </c>
      <c r="AN244" s="15" t="s">
        <v>89</v>
      </c>
      <c r="AO244" s="15" t="s">
        <v>89</v>
      </c>
      <c r="AP244" s="15" t="s">
        <v>40</v>
      </c>
      <c r="AQ244" s="168"/>
      <c r="AR244" s="168"/>
      <c r="AS244" s="15" t="s">
        <v>493</v>
      </c>
      <c r="AT244" s="15" t="s">
        <v>469</v>
      </c>
      <c r="AU244" s="15" t="s">
        <v>469</v>
      </c>
      <c r="AV244" s="15" t="s">
        <v>469</v>
      </c>
      <c r="AW244" s="69">
        <v>0.0</v>
      </c>
      <c r="AX244" s="96" t="str">
        <f t="shared" si="131"/>
        <v>&lt; $10K</v>
      </c>
      <c r="AY244" s="69">
        <v>5352.0</v>
      </c>
      <c r="AZ244" s="69">
        <v>25032.0</v>
      </c>
      <c r="BA244" s="103" t="str">
        <f t="shared" si="132"/>
        <v>$10K - $50K</v>
      </c>
      <c r="BB244" s="103">
        <f t="shared" si="133"/>
        <v>0.2138063279</v>
      </c>
      <c r="BC244" s="103" t="str">
        <f t="shared" si="134"/>
        <v>20% - 30%</v>
      </c>
      <c r="BD244" s="15" t="s">
        <v>91</v>
      </c>
      <c r="BF244" s="15" t="s">
        <v>493</v>
      </c>
      <c r="BG244" s="15">
        <v>1.0</v>
      </c>
      <c r="BH244" s="15">
        <v>2.0</v>
      </c>
      <c r="BI244" s="15" t="s">
        <v>493</v>
      </c>
      <c r="BJ244" s="15" t="s">
        <v>493</v>
      </c>
      <c r="BK244" s="15" t="s">
        <v>469</v>
      </c>
      <c r="BL244" s="15" t="s">
        <v>469</v>
      </c>
      <c r="BM244" s="15">
        <v>3.0</v>
      </c>
      <c r="BN244" s="15">
        <v>2.0</v>
      </c>
      <c r="BO244" s="15">
        <v>0.0</v>
      </c>
      <c r="BP244" s="15">
        <v>0.0</v>
      </c>
      <c r="BQ244" s="108"/>
      <c r="BR244" s="15">
        <v>0.0</v>
      </c>
      <c r="BS244" s="15">
        <v>1.0</v>
      </c>
      <c r="BT244" s="15">
        <v>0.0</v>
      </c>
      <c r="BU244" s="15">
        <v>36.0</v>
      </c>
      <c r="BV244" s="15" t="s">
        <v>493</v>
      </c>
      <c r="BW244" s="108"/>
      <c r="BX244" s="15">
        <v>3.0</v>
      </c>
      <c r="BY244" s="15">
        <v>1.0</v>
      </c>
      <c r="BZ244" s="15">
        <v>0.0</v>
      </c>
      <c r="CA244" s="15">
        <v>29.0</v>
      </c>
      <c r="CB244" s="15" t="s">
        <v>493</v>
      </c>
      <c r="CC244" s="108"/>
      <c r="CI244" s="108"/>
      <c r="CO244" s="108"/>
      <c r="CU244" s="108"/>
      <c r="DA244" s="108"/>
      <c r="DG244" s="108"/>
      <c r="DM244" s="108"/>
      <c r="DS244" s="108"/>
      <c r="DT244" s="108"/>
      <c r="DU244" s="108"/>
      <c r="DW244" s="109"/>
      <c r="DX244" s="110">
        <f t="shared" si="13"/>
        <v>1.5</v>
      </c>
      <c r="DY244" s="111">
        <f t="shared" ref="DY244:DZ244" si="547">sum(BS244,BY244,CE244,CK244,CQ244,CW244,DC244,DI244,DO244)</f>
        <v>2</v>
      </c>
      <c r="DZ244" s="111">
        <f t="shared" si="547"/>
        <v>0</v>
      </c>
      <c r="EA244" s="110">
        <f t="shared" si="15"/>
        <v>32.5</v>
      </c>
      <c r="EB244" s="99" t="str">
        <f t="shared" si="16"/>
        <v>20 - 34</v>
      </c>
      <c r="EC244" s="112"/>
      <c r="ED244" s="113">
        <f t="shared" si="17"/>
        <v>4.6</v>
      </c>
      <c r="EE244" s="114">
        <f>IF(V244 &lt;&gt; "", 1+((V244-MIN(discount_rates))*(4)/(MAX(discount_rates) - MIN(discount_rates))), "")</f>
        <v>3.105263158</v>
      </c>
      <c r="EF244" s="114" t="str">
        <f>IF(Q244="Debt", (1+((S244-MIN(interest_rates))*(4)/(MAX(interest_rates) - MIN(interest_rates)))), "")</f>
        <v/>
      </c>
      <c r="EG244" s="114" t="str">
        <f>IF(OR(Q244="Revenue Share", Q244="Profit Share"), (1+((R244-MIN(return_mutiples))*(4)/(MAX(return_mutiples) - MIN(return_mutiples)))), "")</f>
        <v/>
      </c>
      <c r="EH244" s="115">
        <f t="shared" si="18"/>
        <v>4.6</v>
      </c>
      <c r="EI244" s="116" t="str">
        <f t="shared" si="19"/>
        <v>SAFE</v>
      </c>
      <c r="EJ244" s="117">
        <f t="shared" si="20"/>
        <v>0.3561643836</v>
      </c>
      <c r="EK244" s="116" t="str">
        <f t="shared" si="21"/>
        <v>Early</v>
      </c>
      <c r="EL244" s="112"/>
      <c r="EM244" s="118">
        <f t="shared" si="22"/>
        <v>3.3</v>
      </c>
      <c r="EN244" s="118">
        <f t="shared" si="23"/>
        <v>1.7</v>
      </c>
      <c r="EO244" s="119">
        <f t="shared" si="24"/>
        <v>5</v>
      </c>
      <c r="EP244" s="115">
        <f>1+((EO244-MIN(market_ratings_sums))*(4)/(MAX(market_ratings_sums) - MIN(market_ratings_sums)))</f>
        <v>2.614035088</v>
      </c>
      <c r="EQ244" s="116" t="str">
        <f t="shared" si="25"/>
        <v>Yes</v>
      </c>
      <c r="ER244" s="112"/>
      <c r="ES244" s="123">
        <f>1+((DX244-MIN(industry_experiences))*(4)/(MAX(industry_experiences) - MIN(industry_experiences)))</f>
        <v>1.142857143</v>
      </c>
      <c r="ET244" s="123">
        <f>1+((DY244-MIN(previous_startups))*(4)/(MAX(previous_startups) - MIN(previous_startups)))</f>
        <v>1.888888889</v>
      </c>
      <c r="EU244" s="123">
        <f>1+((DZ244-MIN(exits))*(4)/(MAX(exits) - MIN(exits)))</f>
        <v>1</v>
      </c>
      <c r="EV244" s="119">
        <f t="shared" si="26"/>
        <v>4.031746032</v>
      </c>
      <c r="EW244" s="124">
        <f>1+((EV244-MIN(team_ratings_sums))*(4)/(MAX(team_ratings_sums) - MIN(team_ratings_sums)))</f>
        <v>1.565217391</v>
      </c>
      <c r="EX244" s="116" t="str">
        <f t="shared" si="27"/>
        <v>20 - 34</v>
      </c>
      <c r="EY244" s="125">
        <f t="shared" si="28"/>
        <v>0.2054794521</v>
      </c>
      <c r="EZ244" s="116">
        <f t="shared" si="29"/>
        <v>2</v>
      </c>
      <c r="FA244" s="125">
        <f t="shared" si="30"/>
        <v>0.4520547945</v>
      </c>
      <c r="FB244" s="116">
        <f t="shared" si="31"/>
        <v>2</v>
      </c>
      <c r="FC244" s="125">
        <f t="shared" si="32"/>
        <v>0.1369863014</v>
      </c>
      <c r="FD244" s="116" t="str">
        <f t="shared" si="33"/>
        <v>Yes</v>
      </c>
      <c r="FE244" s="125">
        <f t="shared" si="34"/>
        <v>0.2465753425</v>
      </c>
      <c r="FF244" s="116" t="str">
        <f t="shared" ref="FF244:FH244" si="548">BJ244</f>
        <v>Yes</v>
      </c>
      <c r="FG244" s="116" t="str">
        <f t="shared" si="548"/>
        <v>No</v>
      </c>
      <c r="FH244" s="116" t="str">
        <f t="shared" si="548"/>
        <v>No</v>
      </c>
      <c r="FI244" s="112"/>
      <c r="FJ244" s="116" t="str">
        <f t="shared" si="36"/>
        <v>Recurring</v>
      </c>
      <c r="FK244" s="125">
        <f t="shared" si="37"/>
        <v>0.397260274</v>
      </c>
      <c r="FL244" s="116" t="str">
        <f t="shared" si="38"/>
        <v>B2B/B2C</v>
      </c>
      <c r="FM244" s="125">
        <f t="shared" si="39"/>
        <v>0.3287671233</v>
      </c>
      <c r="FN244" s="116" t="str">
        <f t="shared" si="40"/>
        <v>Low</v>
      </c>
      <c r="FO244" s="125">
        <f t="shared" si="41"/>
        <v>0.4383561644</v>
      </c>
      <c r="FP244" s="116" t="str">
        <f t="shared" si="42"/>
        <v>Low</v>
      </c>
      <c r="FQ244" s="125">
        <f t="shared" si="43"/>
        <v>0.3561643836</v>
      </c>
      <c r="FR244" s="112"/>
      <c r="FS244" s="123">
        <f t="shared" si="44"/>
        <v>1</v>
      </c>
      <c r="FT244" s="123">
        <f t="shared" si="45"/>
        <v>1</v>
      </c>
      <c r="FU244" s="123">
        <f t="shared" si="46"/>
        <v>4.1</v>
      </c>
      <c r="FV244" s="123">
        <f t="shared" si="47"/>
        <v>4.6</v>
      </c>
      <c r="FW244" s="119">
        <f t="shared" si="48"/>
        <v>10.7</v>
      </c>
      <c r="FX244" s="115">
        <f>1+((FW244-MIN(performance_ratings_sums))*(4)/(MAX(performance_ratings_sums) - MIN(performance_ratings_sums)))</f>
        <v>2.495327103</v>
      </c>
      <c r="FY244" s="116" t="str">
        <f t="shared" si="49"/>
        <v>Pre-Revenue</v>
      </c>
      <c r="FZ244" s="126">
        <f t="shared" si="50"/>
        <v>0.2054794521</v>
      </c>
      <c r="GA244" s="112"/>
      <c r="GB244" s="127">
        <f t="shared" si="51"/>
        <v>1</v>
      </c>
      <c r="GC244" s="116" t="str">
        <f t="shared" si="52"/>
        <v>No</v>
      </c>
      <c r="GD244" s="126">
        <f t="shared" si="53"/>
        <v>0.7671232877</v>
      </c>
      <c r="GE244" s="126" t="str">
        <f t="shared" si="54"/>
        <v/>
      </c>
      <c r="GF244" s="126">
        <f t="shared" si="55"/>
        <v>0</v>
      </c>
      <c r="GG244" s="126" t="str">
        <f t="shared" si="56"/>
        <v/>
      </c>
      <c r="GH244" s="126">
        <f t="shared" si="57"/>
        <v>0</v>
      </c>
      <c r="GI244" s="112"/>
      <c r="GJ244" s="116"/>
      <c r="GK244" s="119">
        <f t="shared" si="58"/>
        <v>12.27457958</v>
      </c>
      <c r="GL244" s="128">
        <f>1+((GK244-MIN(ratings_sums))*(4)/(MAX(ratings_sums) - MIN(ratings_sums)))</f>
        <v>2.5589278</v>
      </c>
    </row>
    <row r="245" ht="15.75" customHeight="1">
      <c r="A245" s="161" t="s">
        <v>1128</v>
      </c>
      <c r="B245" s="15">
        <v>1683872.0</v>
      </c>
      <c r="C245" s="162" t="s">
        <v>1575</v>
      </c>
      <c r="D245" s="209">
        <v>43864.53611111111</v>
      </c>
      <c r="E245" s="15" t="s">
        <v>381</v>
      </c>
      <c r="F245" s="164" t="s">
        <v>1576</v>
      </c>
      <c r="G245" s="164" t="s">
        <v>1577</v>
      </c>
      <c r="H245" s="210">
        <v>43889.0</v>
      </c>
      <c r="I245" s="162" t="s">
        <v>1575</v>
      </c>
      <c r="J245" s="162"/>
      <c r="K245" s="15" t="s">
        <v>220</v>
      </c>
      <c r="L245" s="15" t="s">
        <v>117</v>
      </c>
      <c r="M245" s="15" t="s">
        <v>31</v>
      </c>
      <c r="N245" s="15" t="s">
        <v>101</v>
      </c>
      <c r="O245" s="15" t="s">
        <v>35</v>
      </c>
      <c r="Q245" s="15" t="s">
        <v>121</v>
      </c>
      <c r="R245" s="166"/>
      <c r="S245" s="120"/>
      <c r="T245" s="69">
        <v>8.038439E7</v>
      </c>
      <c r="U245" s="69"/>
      <c r="V245" s="132"/>
      <c r="W245" s="96" t="str">
        <f t="shared" si="125"/>
        <v/>
      </c>
      <c r="X245" s="98">
        <f t="shared" si="126"/>
        <v>80384390</v>
      </c>
      <c r="Y245" s="99" t="str">
        <f t="shared" si="127"/>
        <v>&lt; $40M</v>
      </c>
      <c r="Z245" s="15" t="s">
        <v>36</v>
      </c>
      <c r="AA245" s="15" t="s">
        <v>123</v>
      </c>
      <c r="AB245" s="15" t="s">
        <v>88</v>
      </c>
      <c r="AC245" s="15" t="s">
        <v>493</v>
      </c>
      <c r="AD245" s="15" t="s">
        <v>89</v>
      </c>
      <c r="AE245" s="15" t="s">
        <v>39</v>
      </c>
      <c r="AF245" s="15" t="s">
        <v>469</v>
      </c>
      <c r="AG245" s="69">
        <v>1.778E11</v>
      </c>
      <c r="AH245" s="97" t="str">
        <f t="shared" si="128"/>
        <v>$100B-$250B</v>
      </c>
      <c r="AI245" s="69">
        <v>3.682E10</v>
      </c>
      <c r="AJ245" s="97" t="str">
        <f t="shared" si="129"/>
        <v>$25B-$50B</v>
      </c>
      <c r="AK245" s="167">
        <v>0.24</v>
      </c>
      <c r="AL245" s="88" t="str">
        <f t="shared" si="130"/>
        <v>20%-30%</v>
      </c>
      <c r="AM245" s="32">
        <v>33.0</v>
      </c>
      <c r="AN245" s="15" t="s">
        <v>89</v>
      </c>
      <c r="AO245" s="15" t="s">
        <v>39</v>
      </c>
      <c r="AP245" s="15" t="s">
        <v>90</v>
      </c>
      <c r="AQ245" s="168"/>
      <c r="AR245" s="168"/>
      <c r="AS245" s="15" t="s">
        <v>493</v>
      </c>
      <c r="AT245" s="15" t="s">
        <v>469</v>
      </c>
      <c r="AU245" s="15" t="s">
        <v>469</v>
      </c>
      <c r="AV245" s="15" t="s">
        <v>469</v>
      </c>
      <c r="AW245" s="69">
        <v>0.0</v>
      </c>
      <c r="AX245" s="96" t="str">
        <f t="shared" si="131"/>
        <v>&lt; $10K</v>
      </c>
      <c r="AY245" s="69">
        <v>28695.0</v>
      </c>
      <c r="AZ245" s="69">
        <v>1410090.0</v>
      </c>
      <c r="BA245" s="103" t="str">
        <f t="shared" si="132"/>
        <v>$1M - $2M</v>
      </c>
      <c r="BB245" s="103">
        <f t="shared" si="133"/>
        <v>0.02034976491</v>
      </c>
      <c r="BC245" s="103" t="str">
        <f t="shared" si="134"/>
        <v>&lt; 10%</v>
      </c>
      <c r="BD245" s="15" t="s">
        <v>41</v>
      </c>
      <c r="BF245" s="15" t="s">
        <v>469</v>
      </c>
      <c r="BG245" s="15">
        <v>0.0</v>
      </c>
      <c r="BH245" s="15">
        <v>1.0</v>
      </c>
      <c r="BI245" s="15" t="s">
        <v>493</v>
      </c>
      <c r="BJ245" s="15" t="s">
        <v>469</v>
      </c>
      <c r="BK245" s="15" t="s">
        <v>469</v>
      </c>
      <c r="BL245" s="15" t="s">
        <v>469</v>
      </c>
      <c r="BM245" s="15">
        <v>1.0</v>
      </c>
      <c r="BN245" s="15">
        <v>1.0</v>
      </c>
      <c r="BO245" s="15">
        <v>0.0</v>
      </c>
      <c r="BP245" s="15">
        <v>0.0</v>
      </c>
      <c r="BQ245" s="108"/>
      <c r="BR245" s="15">
        <v>3.0</v>
      </c>
      <c r="BS245" s="15">
        <v>1.0</v>
      </c>
      <c r="BT245" s="15">
        <v>0.0</v>
      </c>
      <c r="BU245" s="15">
        <v>42.0</v>
      </c>
      <c r="BV245" s="15" t="s">
        <v>469</v>
      </c>
      <c r="BW245" s="108"/>
      <c r="CC245" s="108"/>
      <c r="CI245" s="108"/>
      <c r="CO245" s="108"/>
      <c r="CU245" s="108"/>
      <c r="DA245" s="108"/>
      <c r="DG245" s="108"/>
      <c r="DM245" s="108"/>
      <c r="DS245" s="108"/>
      <c r="DT245" s="108"/>
      <c r="DU245" s="108"/>
      <c r="DW245" s="109"/>
      <c r="DX245" s="110">
        <f t="shared" si="13"/>
        <v>3</v>
      </c>
      <c r="DY245" s="111">
        <f t="shared" ref="DY245:DZ245" si="549">sum(BS245,BY245,CE245,CK245,CQ245,CW245,DC245,DI245,DO245)</f>
        <v>1</v>
      </c>
      <c r="DZ245" s="111">
        <f t="shared" si="549"/>
        <v>0</v>
      </c>
      <c r="EA245" s="110">
        <f t="shared" si="15"/>
        <v>42</v>
      </c>
      <c r="EB245" s="99" t="str">
        <f t="shared" si="16"/>
        <v>35 - 54</v>
      </c>
      <c r="EC245" s="112"/>
      <c r="ED245" s="113">
        <f t="shared" si="17"/>
        <v>1</v>
      </c>
      <c r="EE245" s="114" t="str">
        <f>IF(V245 &lt;&gt; "", 1+((V245-MIN(discount_rates))*(4)/(MAX(discount_rates) - MIN(discount_rates))), "")</f>
        <v/>
      </c>
      <c r="EF245" s="114" t="str">
        <f>IF(Q245="Debt", (1+((S245-MIN(interest_rates))*(4)/(MAX(interest_rates) - MIN(interest_rates)))), "")</f>
        <v/>
      </c>
      <c r="EG245" s="114" t="str">
        <f>IF(OR(Q245="Revenue Share", Q245="Profit Share"), (1+((R245-MIN(return_mutiples))*(4)/(MAX(return_mutiples) - MIN(return_mutiples)))), "")</f>
        <v/>
      </c>
      <c r="EH245" s="115">
        <f t="shared" si="18"/>
        <v>1</v>
      </c>
      <c r="EI245" s="116" t="str">
        <f t="shared" si="19"/>
        <v>Equity - Common</v>
      </c>
      <c r="EJ245" s="117">
        <f t="shared" si="20"/>
        <v>0.3287671233</v>
      </c>
      <c r="EK245" s="116" t="str">
        <f t="shared" si="21"/>
        <v>Early</v>
      </c>
      <c r="EL245" s="112"/>
      <c r="EM245" s="118">
        <f t="shared" si="22"/>
        <v>3.6</v>
      </c>
      <c r="EN245" s="118">
        <f t="shared" si="23"/>
        <v>3</v>
      </c>
      <c r="EO245" s="119">
        <f t="shared" si="24"/>
        <v>6.6</v>
      </c>
      <c r="EP245" s="115">
        <f>1+((EO245-MIN(market_ratings_sums))*(4)/(MAX(market_ratings_sums) - MIN(market_ratings_sums)))</f>
        <v>3.736842105</v>
      </c>
      <c r="EQ245" s="116" t="str">
        <f t="shared" si="25"/>
        <v>Yes</v>
      </c>
      <c r="ER245" s="112"/>
      <c r="ES245" s="123">
        <f>1+((DX245-MIN(industry_experiences))*(4)/(MAX(industry_experiences) - MIN(industry_experiences)))</f>
        <v>1.285714286</v>
      </c>
      <c r="ET245" s="123">
        <f>1+((DY245-MIN(previous_startups))*(4)/(MAX(previous_startups) - MIN(previous_startups)))</f>
        <v>1.444444444</v>
      </c>
      <c r="EU245" s="123">
        <f>1+((DZ245-MIN(exits))*(4)/(MAX(exits) - MIN(exits)))</f>
        <v>1</v>
      </c>
      <c r="EV245" s="119">
        <f t="shared" si="26"/>
        <v>3.73015873</v>
      </c>
      <c r="EW245" s="124">
        <f>1+((EV245-MIN(team_ratings_sums))*(4)/(MAX(team_ratings_sums) - MIN(team_ratings_sums)))</f>
        <v>1.4</v>
      </c>
      <c r="EX245" s="116" t="str">
        <f t="shared" si="27"/>
        <v>35 - 54</v>
      </c>
      <c r="EY245" s="125">
        <f t="shared" si="28"/>
        <v>0.6849315068</v>
      </c>
      <c r="EZ245" s="116">
        <f t="shared" si="29"/>
        <v>1</v>
      </c>
      <c r="FA245" s="125">
        <f t="shared" si="30"/>
        <v>0.4383561644</v>
      </c>
      <c r="FB245" s="116">
        <f t="shared" si="31"/>
        <v>1</v>
      </c>
      <c r="FC245" s="125">
        <f t="shared" si="32"/>
        <v>0.08219178082</v>
      </c>
      <c r="FD245" s="116" t="str">
        <f t="shared" si="33"/>
        <v>Yes</v>
      </c>
      <c r="FE245" s="125">
        <f t="shared" si="34"/>
        <v>0.2465753425</v>
      </c>
      <c r="FF245" s="116" t="str">
        <f t="shared" ref="FF245:FH245" si="550">BJ245</f>
        <v>No</v>
      </c>
      <c r="FG245" s="116" t="str">
        <f t="shared" si="550"/>
        <v>No</v>
      </c>
      <c r="FH245" s="116" t="str">
        <f t="shared" si="550"/>
        <v>No</v>
      </c>
      <c r="FI245" s="112"/>
      <c r="FJ245" s="116" t="str">
        <f t="shared" si="36"/>
        <v>Transactional</v>
      </c>
      <c r="FK245" s="125">
        <f t="shared" si="37"/>
        <v>0.602739726</v>
      </c>
      <c r="FL245" s="116" t="str">
        <f t="shared" si="38"/>
        <v>B2B/B2C</v>
      </c>
      <c r="FM245" s="125">
        <f t="shared" si="39"/>
        <v>0.3287671233</v>
      </c>
      <c r="FN245" s="116" t="str">
        <f t="shared" si="40"/>
        <v>Low</v>
      </c>
      <c r="FO245" s="125">
        <f t="shared" si="41"/>
        <v>0.4383561644</v>
      </c>
      <c r="FP245" s="116" t="str">
        <f t="shared" si="42"/>
        <v>High</v>
      </c>
      <c r="FQ245" s="125">
        <f t="shared" si="43"/>
        <v>0.6438356164</v>
      </c>
      <c r="FR245" s="112"/>
      <c r="FS245" s="123">
        <f t="shared" si="44"/>
        <v>1</v>
      </c>
      <c r="FT245" s="123">
        <f t="shared" si="45"/>
        <v>1</v>
      </c>
      <c r="FU245" s="123">
        <f t="shared" si="46"/>
        <v>5</v>
      </c>
      <c r="FV245" s="123">
        <f t="shared" si="47"/>
        <v>2.8</v>
      </c>
      <c r="FW245" s="119">
        <f t="shared" si="48"/>
        <v>9.8</v>
      </c>
      <c r="FX245" s="115">
        <f>1+((FW245-MIN(performance_ratings_sums))*(4)/(MAX(performance_ratings_sums) - MIN(performance_ratings_sums)))</f>
        <v>2.158878505</v>
      </c>
      <c r="FY245" s="116" t="str">
        <f t="shared" si="49"/>
        <v>Pre-Product</v>
      </c>
      <c r="FZ245" s="126">
        <f t="shared" si="50"/>
        <v>0.2328767123</v>
      </c>
      <c r="GA245" s="112"/>
      <c r="GB245" s="127">
        <f t="shared" si="51"/>
        <v>3</v>
      </c>
      <c r="GC245" s="116" t="str">
        <f t="shared" si="52"/>
        <v>No</v>
      </c>
      <c r="GD245" s="126">
        <f t="shared" si="53"/>
        <v>0.7671232877</v>
      </c>
      <c r="GE245" s="126" t="str">
        <f t="shared" si="54"/>
        <v/>
      </c>
      <c r="GF245" s="126">
        <f t="shared" si="55"/>
        <v>0</v>
      </c>
      <c r="GG245" s="126" t="str">
        <f t="shared" si="56"/>
        <v/>
      </c>
      <c r="GH245" s="126">
        <f t="shared" si="57"/>
        <v>0</v>
      </c>
      <c r="GI245" s="112"/>
      <c r="GJ245" s="116"/>
      <c r="GK245" s="119">
        <f t="shared" si="58"/>
        <v>11.29572061</v>
      </c>
      <c r="GL245" s="128">
        <f>1+((GK245-MIN(ratings_sums))*(4)/(MAX(ratings_sums) - MIN(ratings_sums)))</f>
        <v>2.258574745</v>
      </c>
    </row>
    <row r="246" ht="15.75" customHeight="1">
      <c r="A246" s="161" t="s">
        <v>1128</v>
      </c>
      <c r="B246" s="15">
        <v>1801449.0</v>
      </c>
      <c r="C246" s="162" t="s">
        <v>1578</v>
      </c>
      <c r="D246" s="209">
        <v>43864.538194444445</v>
      </c>
      <c r="E246" s="15" t="s">
        <v>381</v>
      </c>
      <c r="F246" s="164" t="s">
        <v>1579</v>
      </c>
      <c r="G246" s="164" t="s">
        <v>1580</v>
      </c>
      <c r="H246" s="210">
        <v>43861.0</v>
      </c>
      <c r="I246" s="162" t="s">
        <v>1581</v>
      </c>
      <c r="J246" s="162" t="s">
        <v>1578</v>
      </c>
      <c r="K246" s="15" t="s">
        <v>354</v>
      </c>
      <c r="L246" s="15" t="s">
        <v>390</v>
      </c>
      <c r="M246" s="15" t="s">
        <v>81</v>
      </c>
      <c r="N246" s="15" t="s">
        <v>101</v>
      </c>
      <c r="O246" s="15" t="s">
        <v>35</v>
      </c>
      <c r="Q246" s="15" t="s">
        <v>121</v>
      </c>
      <c r="R246" s="166"/>
      <c r="S246" s="120"/>
      <c r="T246" s="69">
        <v>1.0998984E7</v>
      </c>
      <c r="U246" s="69"/>
      <c r="V246" s="132"/>
      <c r="W246" s="96" t="str">
        <f t="shared" si="125"/>
        <v/>
      </c>
      <c r="X246" s="98">
        <f t="shared" si="126"/>
        <v>10998984</v>
      </c>
      <c r="Y246" s="99" t="str">
        <f t="shared" si="127"/>
        <v>$10M - $12M</v>
      </c>
      <c r="Z246" s="15" t="s">
        <v>36</v>
      </c>
      <c r="AA246" s="15" t="s">
        <v>123</v>
      </c>
      <c r="AB246" s="15" t="s">
        <v>38</v>
      </c>
      <c r="AC246" s="15" t="s">
        <v>493</v>
      </c>
      <c r="AD246" s="15" t="s">
        <v>39</v>
      </c>
      <c r="AE246" s="15" t="s">
        <v>89</v>
      </c>
      <c r="AF246" s="15" t="s">
        <v>469</v>
      </c>
      <c r="AG246" s="69">
        <v>2.0E11</v>
      </c>
      <c r="AH246" s="97" t="str">
        <f t="shared" si="128"/>
        <v>$100B-$250B</v>
      </c>
      <c r="AI246" s="69">
        <v>3.39E9</v>
      </c>
      <c r="AJ246" s="97" t="str">
        <f t="shared" si="129"/>
        <v>$1B-$5B</v>
      </c>
      <c r="AK246" s="167">
        <v>0.27</v>
      </c>
      <c r="AL246" s="88" t="str">
        <f t="shared" si="130"/>
        <v>20%-30%</v>
      </c>
      <c r="AM246" s="32">
        <v>2650.0</v>
      </c>
      <c r="AN246" s="15" t="s">
        <v>89</v>
      </c>
      <c r="AO246" s="15" t="s">
        <v>89</v>
      </c>
      <c r="AP246" s="15" t="s">
        <v>40</v>
      </c>
      <c r="AQ246" s="168"/>
      <c r="AR246" s="168"/>
      <c r="AS246" s="15" t="s">
        <v>469</v>
      </c>
      <c r="AT246" s="15" t="s">
        <v>469</v>
      </c>
      <c r="AU246" s="15" t="s">
        <v>493</v>
      </c>
      <c r="AV246" s="15" t="s">
        <v>493</v>
      </c>
      <c r="AW246" s="69">
        <v>544360.0</v>
      </c>
      <c r="AX246" s="96" t="str">
        <f t="shared" si="131"/>
        <v>$500K - $1M</v>
      </c>
      <c r="AY246" s="69">
        <v>18798.0</v>
      </c>
      <c r="AZ246" s="69">
        <v>203768.0</v>
      </c>
      <c r="BA246" s="103" t="str">
        <f t="shared" si="132"/>
        <v>$100K - $500K</v>
      </c>
      <c r="BB246" s="103">
        <f t="shared" si="133"/>
        <v>0.09225197283</v>
      </c>
      <c r="BC246" s="103" t="str">
        <f t="shared" si="134"/>
        <v>&lt; 10%</v>
      </c>
      <c r="BD246" s="15" t="s">
        <v>124</v>
      </c>
      <c r="BF246" s="15" t="s">
        <v>493</v>
      </c>
      <c r="BG246" s="15">
        <v>0.0</v>
      </c>
      <c r="BH246" s="15">
        <v>1.0</v>
      </c>
      <c r="BI246" s="15" t="s">
        <v>493</v>
      </c>
      <c r="BJ246" s="15" t="s">
        <v>469</v>
      </c>
      <c r="BK246" s="15" t="s">
        <v>469</v>
      </c>
      <c r="BL246" s="15" t="s">
        <v>469</v>
      </c>
      <c r="BM246" s="15">
        <v>1.0</v>
      </c>
      <c r="BN246" s="15">
        <v>3.0</v>
      </c>
      <c r="BO246" s="15">
        <v>0.0</v>
      </c>
      <c r="BP246" s="15">
        <v>0.0</v>
      </c>
      <c r="BQ246" s="108"/>
      <c r="BR246" s="15">
        <v>3.0</v>
      </c>
      <c r="BS246" s="15">
        <v>0.0</v>
      </c>
      <c r="BT246" s="15">
        <v>0.0</v>
      </c>
      <c r="BU246" s="15">
        <v>39.0</v>
      </c>
      <c r="BV246" s="15" t="s">
        <v>469</v>
      </c>
      <c r="BW246" s="108"/>
      <c r="CC246" s="108"/>
      <c r="CI246" s="108"/>
      <c r="CO246" s="108"/>
      <c r="CU246" s="108"/>
      <c r="DA246" s="108"/>
      <c r="DG246" s="108"/>
      <c r="DM246" s="108"/>
      <c r="DS246" s="108"/>
      <c r="DT246" s="108"/>
      <c r="DU246" s="108"/>
      <c r="DW246" s="109"/>
      <c r="DX246" s="110">
        <f t="shared" si="13"/>
        <v>3</v>
      </c>
      <c r="DY246" s="111">
        <f t="shared" ref="DY246:DZ246" si="551">sum(BS246,BY246,CE246,CK246,CQ246,CW246,DC246,DI246,DO246)</f>
        <v>0</v>
      </c>
      <c r="DZ246" s="111">
        <f t="shared" si="551"/>
        <v>0</v>
      </c>
      <c r="EA246" s="110">
        <f t="shared" si="15"/>
        <v>39</v>
      </c>
      <c r="EB246" s="99" t="str">
        <f t="shared" si="16"/>
        <v>35 - 54</v>
      </c>
      <c r="EC246" s="112"/>
      <c r="ED246" s="113">
        <f t="shared" si="17"/>
        <v>3.9</v>
      </c>
      <c r="EE246" s="114" t="str">
        <f>IF(V246 &lt;&gt; "", 1+((V246-MIN(discount_rates))*(4)/(MAX(discount_rates) - MIN(discount_rates))), "")</f>
        <v/>
      </c>
      <c r="EF246" s="114" t="str">
        <f>IF(Q246="Debt", (1+((S246-MIN(interest_rates))*(4)/(MAX(interest_rates) - MIN(interest_rates)))), "")</f>
        <v/>
      </c>
      <c r="EG246" s="114" t="str">
        <f>IF(OR(Q246="Revenue Share", Q246="Profit Share"), (1+((R246-MIN(return_mutiples))*(4)/(MAX(return_mutiples) - MIN(return_mutiples)))), "")</f>
        <v/>
      </c>
      <c r="EH246" s="115">
        <f t="shared" si="18"/>
        <v>3.9</v>
      </c>
      <c r="EI246" s="116" t="str">
        <f t="shared" si="19"/>
        <v>Equity - Common</v>
      </c>
      <c r="EJ246" s="117">
        <f t="shared" si="20"/>
        <v>0.3287671233</v>
      </c>
      <c r="EK246" s="116" t="str">
        <f t="shared" si="21"/>
        <v>Growth</v>
      </c>
      <c r="EL246" s="112"/>
      <c r="EM246" s="118">
        <f t="shared" si="22"/>
        <v>2.7</v>
      </c>
      <c r="EN246" s="118">
        <f t="shared" si="23"/>
        <v>3</v>
      </c>
      <c r="EO246" s="119">
        <f t="shared" si="24"/>
        <v>5.7</v>
      </c>
      <c r="EP246" s="115">
        <f>1+((EO246-MIN(market_ratings_sums))*(4)/(MAX(market_ratings_sums) - MIN(market_ratings_sums)))</f>
        <v>3.105263158</v>
      </c>
      <c r="EQ246" s="116" t="str">
        <f t="shared" si="25"/>
        <v>No</v>
      </c>
      <c r="ER246" s="112"/>
      <c r="ES246" s="123">
        <f>1+((DX246-MIN(industry_experiences))*(4)/(MAX(industry_experiences) - MIN(industry_experiences)))</f>
        <v>1.285714286</v>
      </c>
      <c r="ET246" s="123">
        <f>1+((DY246-MIN(previous_startups))*(4)/(MAX(previous_startups) - MIN(previous_startups)))</f>
        <v>1</v>
      </c>
      <c r="EU246" s="123">
        <f>1+((DZ246-MIN(exits))*(4)/(MAX(exits) - MIN(exits)))</f>
        <v>1</v>
      </c>
      <c r="EV246" s="119">
        <f t="shared" si="26"/>
        <v>3.285714286</v>
      </c>
      <c r="EW246" s="124">
        <f>1+((EV246-MIN(team_ratings_sums))*(4)/(MAX(team_ratings_sums) - MIN(team_ratings_sums)))</f>
        <v>1.156521739</v>
      </c>
      <c r="EX246" s="116" t="str">
        <f t="shared" si="27"/>
        <v>35 - 54</v>
      </c>
      <c r="EY246" s="125">
        <f t="shared" si="28"/>
        <v>0.6849315068</v>
      </c>
      <c r="EZ246" s="116">
        <f t="shared" si="29"/>
        <v>1</v>
      </c>
      <c r="FA246" s="125">
        <f t="shared" si="30"/>
        <v>0.4383561644</v>
      </c>
      <c r="FB246" s="116">
        <f t="shared" si="31"/>
        <v>3</v>
      </c>
      <c r="FC246" s="125">
        <f t="shared" si="32"/>
        <v>0.08219178082</v>
      </c>
      <c r="FD246" s="116" t="str">
        <f t="shared" si="33"/>
        <v>Yes</v>
      </c>
      <c r="FE246" s="125">
        <f t="shared" si="34"/>
        <v>0.2465753425</v>
      </c>
      <c r="FF246" s="116" t="str">
        <f t="shared" ref="FF246:FH246" si="552">BJ246</f>
        <v>No</v>
      </c>
      <c r="FG246" s="116" t="str">
        <f t="shared" si="552"/>
        <v>No</v>
      </c>
      <c r="FH246" s="116" t="str">
        <f t="shared" si="552"/>
        <v>No</v>
      </c>
      <c r="FI246" s="112"/>
      <c r="FJ246" s="116" t="str">
        <f t="shared" si="36"/>
        <v>Transactional</v>
      </c>
      <c r="FK246" s="125">
        <f t="shared" si="37"/>
        <v>0.602739726</v>
      </c>
      <c r="FL246" s="116" t="str">
        <f t="shared" si="38"/>
        <v>B2B/B2C</v>
      </c>
      <c r="FM246" s="125">
        <f t="shared" si="39"/>
        <v>0.3287671233</v>
      </c>
      <c r="FN246" s="116" t="str">
        <f t="shared" si="40"/>
        <v>High</v>
      </c>
      <c r="FO246" s="125">
        <f t="shared" si="41"/>
        <v>0.5616438356</v>
      </c>
      <c r="FP246" s="116" t="str">
        <f t="shared" si="42"/>
        <v>Low</v>
      </c>
      <c r="FQ246" s="125">
        <f t="shared" si="43"/>
        <v>0.3561643836</v>
      </c>
      <c r="FR246" s="112"/>
      <c r="FS246" s="123">
        <f t="shared" si="44"/>
        <v>5</v>
      </c>
      <c r="FT246" s="123">
        <f t="shared" si="45"/>
        <v>2.8</v>
      </c>
      <c r="FU246" s="123">
        <f t="shared" si="46"/>
        <v>5</v>
      </c>
      <c r="FV246" s="123">
        <f t="shared" si="47"/>
        <v>3.7</v>
      </c>
      <c r="FW246" s="119">
        <f t="shared" si="48"/>
        <v>16.5</v>
      </c>
      <c r="FX246" s="115">
        <f>1+((FW246-MIN(performance_ratings_sums))*(4)/(MAX(performance_ratings_sums) - MIN(performance_ratings_sums)))</f>
        <v>4.663551402</v>
      </c>
      <c r="FY246" s="116" t="str">
        <f t="shared" si="49"/>
        <v>Profitable</v>
      </c>
      <c r="FZ246" s="126">
        <f t="shared" si="50"/>
        <v>0.06849315068</v>
      </c>
      <c r="GA246" s="112"/>
      <c r="GB246" s="127">
        <f t="shared" si="51"/>
        <v>1</v>
      </c>
      <c r="GC246" s="116" t="str">
        <f t="shared" si="52"/>
        <v>No</v>
      </c>
      <c r="GD246" s="126">
        <f t="shared" si="53"/>
        <v>0.7671232877</v>
      </c>
      <c r="GE246" s="126" t="str">
        <f t="shared" si="54"/>
        <v/>
      </c>
      <c r="GF246" s="126">
        <f t="shared" si="55"/>
        <v>0</v>
      </c>
      <c r="GG246" s="126" t="str">
        <f t="shared" si="56"/>
        <v/>
      </c>
      <c r="GH246" s="126">
        <f t="shared" si="57"/>
        <v>0</v>
      </c>
      <c r="GI246" s="112"/>
      <c r="GJ246" s="116"/>
      <c r="GK246" s="119">
        <f t="shared" si="58"/>
        <v>13.8253363</v>
      </c>
      <c r="GL246" s="128">
        <f>1+((GK246-MIN(ratings_sums))*(4)/(MAX(ratings_sums) - MIN(ratings_sums)))</f>
        <v>3.034761941</v>
      </c>
    </row>
    <row r="247" ht="15.75" customHeight="1">
      <c r="A247" s="161" t="s">
        <v>1128</v>
      </c>
      <c r="B247" s="15">
        <v>1801855.0</v>
      </c>
      <c r="C247" s="162" t="s">
        <v>1582</v>
      </c>
      <c r="D247" s="209">
        <v>43864.54027777778</v>
      </c>
      <c r="E247" s="15" t="s">
        <v>381</v>
      </c>
      <c r="F247" s="164" t="s">
        <v>1583</v>
      </c>
      <c r="G247" s="164" t="s">
        <v>1584</v>
      </c>
      <c r="H247" s="210">
        <v>43861.0</v>
      </c>
      <c r="I247" s="162" t="s">
        <v>1585</v>
      </c>
      <c r="J247" s="162" t="s">
        <v>1582</v>
      </c>
      <c r="K247" s="15" t="s">
        <v>354</v>
      </c>
      <c r="L247" s="15" t="s">
        <v>390</v>
      </c>
      <c r="M247" s="15" t="s">
        <v>81</v>
      </c>
      <c r="N247" s="15" t="s">
        <v>82</v>
      </c>
      <c r="O247" s="15" t="s">
        <v>35</v>
      </c>
      <c r="Q247" s="15" t="s">
        <v>121</v>
      </c>
      <c r="R247" s="166"/>
      <c r="S247" s="120"/>
      <c r="T247" s="69">
        <v>3000000.0</v>
      </c>
      <c r="U247" s="69"/>
      <c r="V247" s="132"/>
      <c r="W247" s="96" t="str">
        <f t="shared" si="125"/>
        <v/>
      </c>
      <c r="X247" s="98">
        <f t="shared" si="126"/>
        <v>3000000</v>
      </c>
      <c r="Y247" s="99" t="str">
        <f t="shared" si="127"/>
        <v>$2M - $4M</v>
      </c>
      <c r="Z247" s="15" t="s">
        <v>36</v>
      </c>
      <c r="AA247" s="15" t="s">
        <v>87</v>
      </c>
      <c r="AB247" s="15" t="s">
        <v>38</v>
      </c>
      <c r="AC247" s="15" t="s">
        <v>493</v>
      </c>
      <c r="AD247" s="15" t="s">
        <v>89</v>
      </c>
      <c r="AE247" s="15" t="s">
        <v>89</v>
      </c>
      <c r="AF247" s="15" t="s">
        <v>469</v>
      </c>
      <c r="AG247" s="69">
        <v>2.0E11</v>
      </c>
      <c r="AH247" s="97" t="str">
        <f t="shared" si="128"/>
        <v>$100B-$250B</v>
      </c>
      <c r="AI247" s="69">
        <v>1.02E10</v>
      </c>
      <c r="AJ247" s="97" t="str">
        <f t="shared" si="129"/>
        <v>$10B-$25B</v>
      </c>
      <c r="AK247" s="167">
        <v>0.19</v>
      </c>
      <c r="AL247" s="88" t="str">
        <f t="shared" si="130"/>
        <v>10%-20%</v>
      </c>
      <c r="AM247" s="32">
        <v>2650.0</v>
      </c>
      <c r="AN247" s="15" t="s">
        <v>89</v>
      </c>
      <c r="AO247" s="15" t="s">
        <v>89</v>
      </c>
      <c r="AP247" s="15" t="s">
        <v>40</v>
      </c>
      <c r="AQ247" s="168"/>
      <c r="AR247" s="168"/>
      <c r="AS247" s="15" t="s">
        <v>469</v>
      </c>
      <c r="AT247" s="15" t="s">
        <v>469</v>
      </c>
      <c r="AU247" s="15" t="s">
        <v>493</v>
      </c>
      <c r="AV247" s="15" t="s">
        <v>493</v>
      </c>
      <c r="AW247" s="69">
        <v>93578.0</v>
      </c>
      <c r="AX247" s="96" t="str">
        <f t="shared" si="131"/>
        <v>$50K - $100K</v>
      </c>
      <c r="AY247" s="69">
        <v>991.0</v>
      </c>
      <c r="AZ247" s="69">
        <v>18148.0</v>
      </c>
      <c r="BA247" s="103" t="str">
        <f t="shared" si="132"/>
        <v>$10K - $50K</v>
      </c>
      <c r="BB247" s="103">
        <f t="shared" si="133"/>
        <v>0.05460656822</v>
      </c>
      <c r="BC247" s="103" t="str">
        <f t="shared" si="134"/>
        <v>&lt; 10%</v>
      </c>
      <c r="BD247" s="15" t="s">
        <v>124</v>
      </c>
      <c r="BF247" s="15" t="s">
        <v>469</v>
      </c>
      <c r="BG247" s="15">
        <v>0.0</v>
      </c>
      <c r="BH247" s="15">
        <v>1.0</v>
      </c>
      <c r="BI247" s="15" t="s">
        <v>493</v>
      </c>
      <c r="BJ247" s="15" t="s">
        <v>493</v>
      </c>
      <c r="BK247" s="15" t="s">
        <v>469</v>
      </c>
      <c r="BL247" s="15" t="s">
        <v>469</v>
      </c>
      <c r="BM247" s="15">
        <v>2.0</v>
      </c>
      <c r="BN247" s="15">
        <v>5.0</v>
      </c>
      <c r="BO247" s="15">
        <v>0.0</v>
      </c>
      <c r="BP247" s="15">
        <v>0.0</v>
      </c>
      <c r="BQ247" s="108"/>
      <c r="BR247" s="15">
        <v>8.0</v>
      </c>
      <c r="BS247" s="15">
        <v>1.0</v>
      </c>
      <c r="BT247" s="15">
        <v>0.0</v>
      </c>
      <c r="BU247" s="15">
        <v>50.0</v>
      </c>
      <c r="BV247" s="15" t="s">
        <v>469</v>
      </c>
      <c r="BW247" s="108"/>
      <c r="CC247" s="108"/>
      <c r="CI247" s="108"/>
      <c r="CO247" s="108"/>
      <c r="CU247" s="108"/>
      <c r="DA247" s="108"/>
      <c r="DG247" s="108"/>
      <c r="DM247" s="108"/>
      <c r="DS247" s="108"/>
      <c r="DT247" s="108"/>
      <c r="DU247" s="108"/>
      <c r="DW247" s="109"/>
      <c r="DX247" s="110">
        <f t="shared" si="13"/>
        <v>8</v>
      </c>
      <c r="DY247" s="111">
        <f t="shared" ref="DY247:DZ247" si="553">sum(BS247,BY247,CE247,CK247,CQ247,CW247,DC247,DI247,DO247)</f>
        <v>1</v>
      </c>
      <c r="DZ247" s="111">
        <f t="shared" si="553"/>
        <v>0</v>
      </c>
      <c r="EA247" s="110">
        <f t="shared" si="15"/>
        <v>50</v>
      </c>
      <c r="EB247" s="99" t="str">
        <f t="shared" si="16"/>
        <v>35 - 54</v>
      </c>
      <c r="EC247" s="112"/>
      <c r="ED247" s="113">
        <f t="shared" si="17"/>
        <v>4.6</v>
      </c>
      <c r="EE247" s="114" t="str">
        <f>IF(V247 &lt;&gt; "", 1+((V247-MIN(discount_rates))*(4)/(MAX(discount_rates) - MIN(discount_rates))), "")</f>
        <v/>
      </c>
      <c r="EF247" s="114" t="str">
        <f>IF(Q247="Debt", (1+((S247-MIN(interest_rates))*(4)/(MAX(interest_rates) - MIN(interest_rates)))), "")</f>
        <v/>
      </c>
      <c r="EG247" s="114" t="str">
        <f>IF(OR(Q247="Revenue Share", Q247="Profit Share"), (1+((R247-MIN(return_mutiples))*(4)/(MAX(return_mutiples) - MIN(return_mutiples)))), "")</f>
        <v/>
      </c>
      <c r="EH247" s="115">
        <f t="shared" si="18"/>
        <v>4.6</v>
      </c>
      <c r="EI247" s="116" t="str">
        <f t="shared" si="19"/>
        <v>Equity - Common</v>
      </c>
      <c r="EJ247" s="117">
        <f t="shared" si="20"/>
        <v>0.3287671233</v>
      </c>
      <c r="EK247" s="116" t="str">
        <f t="shared" si="21"/>
        <v>Growth</v>
      </c>
      <c r="EL247" s="112"/>
      <c r="EM247" s="118">
        <f t="shared" si="22"/>
        <v>3.3</v>
      </c>
      <c r="EN247" s="118">
        <f t="shared" si="23"/>
        <v>2.3</v>
      </c>
      <c r="EO247" s="119">
        <f t="shared" si="24"/>
        <v>5.6</v>
      </c>
      <c r="EP247" s="115">
        <f>1+((EO247-MIN(market_ratings_sums))*(4)/(MAX(market_ratings_sums) - MIN(market_ratings_sums)))</f>
        <v>3.035087719</v>
      </c>
      <c r="EQ247" s="116" t="str">
        <f t="shared" si="25"/>
        <v>No</v>
      </c>
      <c r="ER247" s="112"/>
      <c r="ES247" s="123">
        <f>1+((DX247-MIN(industry_experiences))*(4)/(MAX(industry_experiences) - MIN(industry_experiences)))</f>
        <v>1.761904762</v>
      </c>
      <c r="ET247" s="123">
        <f>1+((DY247-MIN(previous_startups))*(4)/(MAX(previous_startups) - MIN(previous_startups)))</f>
        <v>1.444444444</v>
      </c>
      <c r="EU247" s="123">
        <f>1+((DZ247-MIN(exits))*(4)/(MAX(exits) - MIN(exits)))</f>
        <v>1</v>
      </c>
      <c r="EV247" s="119">
        <f t="shared" si="26"/>
        <v>4.206349206</v>
      </c>
      <c r="EW247" s="124">
        <f>1+((EV247-MIN(team_ratings_sums))*(4)/(MAX(team_ratings_sums) - MIN(team_ratings_sums)))</f>
        <v>1.660869565</v>
      </c>
      <c r="EX247" s="116" t="str">
        <f t="shared" si="27"/>
        <v>35 - 54</v>
      </c>
      <c r="EY247" s="125">
        <f t="shared" si="28"/>
        <v>0.6849315068</v>
      </c>
      <c r="EZ247" s="116">
        <f t="shared" si="29"/>
        <v>1</v>
      </c>
      <c r="FA247" s="125">
        <f t="shared" si="30"/>
        <v>0.4383561644</v>
      </c>
      <c r="FB247" s="116">
        <f t="shared" si="31"/>
        <v>5</v>
      </c>
      <c r="FC247" s="125">
        <f t="shared" si="32"/>
        <v>0.1369863014</v>
      </c>
      <c r="FD247" s="116" t="str">
        <f t="shared" si="33"/>
        <v>Yes</v>
      </c>
      <c r="FE247" s="125">
        <f t="shared" si="34"/>
        <v>0.2465753425</v>
      </c>
      <c r="FF247" s="116" t="str">
        <f t="shared" ref="FF247:FH247" si="554">BJ247</f>
        <v>Yes</v>
      </c>
      <c r="FG247" s="116" t="str">
        <f t="shared" si="554"/>
        <v>No</v>
      </c>
      <c r="FH247" s="116" t="str">
        <f t="shared" si="554"/>
        <v>No</v>
      </c>
      <c r="FI247" s="112"/>
      <c r="FJ247" s="116" t="str">
        <f t="shared" si="36"/>
        <v>Transactional</v>
      </c>
      <c r="FK247" s="125">
        <f t="shared" si="37"/>
        <v>0.602739726</v>
      </c>
      <c r="FL247" s="116" t="str">
        <f t="shared" si="38"/>
        <v>B2C</v>
      </c>
      <c r="FM247" s="125">
        <f t="shared" si="39"/>
        <v>0.397260274</v>
      </c>
      <c r="FN247" s="116" t="str">
        <f t="shared" si="40"/>
        <v>Low</v>
      </c>
      <c r="FO247" s="125">
        <f t="shared" si="41"/>
        <v>0.4383561644</v>
      </c>
      <c r="FP247" s="116" t="str">
        <f t="shared" si="42"/>
        <v>Low</v>
      </c>
      <c r="FQ247" s="125">
        <f t="shared" si="43"/>
        <v>0.3561643836</v>
      </c>
      <c r="FR247" s="112"/>
      <c r="FS247" s="123">
        <f t="shared" si="44"/>
        <v>5</v>
      </c>
      <c r="FT247" s="123">
        <f t="shared" si="45"/>
        <v>1.9</v>
      </c>
      <c r="FU247" s="123">
        <f t="shared" si="46"/>
        <v>5</v>
      </c>
      <c r="FV247" s="123">
        <f t="shared" si="47"/>
        <v>4.6</v>
      </c>
      <c r="FW247" s="119">
        <f t="shared" si="48"/>
        <v>16.5</v>
      </c>
      <c r="FX247" s="115">
        <f>1+((FW247-MIN(performance_ratings_sums))*(4)/(MAX(performance_ratings_sums) - MIN(performance_ratings_sums)))</f>
        <v>4.663551402</v>
      </c>
      <c r="FY247" s="116" t="str">
        <f t="shared" si="49"/>
        <v>Profitable</v>
      </c>
      <c r="FZ247" s="126">
        <f t="shared" si="50"/>
        <v>0.06849315068</v>
      </c>
      <c r="GA247" s="112"/>
      <c r="GB247" s="127">
        <f t="shared" si="51"/>
        <v>1</v>
      </c>
      <c r="GC247" s="116" t="str">
        <f t="shared" si="52"/>
        <v>No</v>
      </c>
      <c r="GD247" s="126">
        <f t="shared" si="53"/>
        <v>0.7671232877</v>
      </c>
      <c r="GE247" s="126" t="str">
        <f t="shared" si="54"/>
        <v/>
      </c>
      <c r="GF247" s="126">
        <f t="shared" si="55"/>
        <v>0</v>
      </c>
      <c r="GG247" s="126" t="str">
        <f t="shared" si="56"/>
        <v/>
      </c>
      <c r="GH247" s="126">
        <f t="shared" si="57"/>
        <v>0</v>
      </c>
      <c r="GI247" s="112"/>
      <c r="GJ247" s="116"/>
      <c r="GK247" s="119">
        <f t="shared" si="58"/>
        <v>14.95950869</v>
      </c>
      <c r="GL247" s="128">
        <f>1+((GK247-MIN(ratings_sums))*(4)/(MAX(ratings_sums) - MIN(ratings_sums)))</f>
        <v>3.382771359</v>
      </c>
    </row>
    <row r="248" ht="15.75" customHeight="1">
      <c r="A248" s="161" t="s">
        <v>1128</v>
      </c>
      <c r="B248" s="15">
        <v>1799227.0</v>
      </c>
      <c r="C248" s="162" t="s">
        <v>1586</v>
      </c>
      <c r="D248" s="209">
        <v>43864.54236111111</v>
      </c>
      <c r="E248" s="15" t="s">
        <v>381</v>
      </c>
      <c r="F248" s="164" t="s">
        <v>1587</v>
      </c>
      <c r="G248" s="164" t="s">
        <v>1588</v>
      </c>
      <c r="H248" s="210">
        <v>43861.0</v>
      </c>
      <c r="I248" s="162" t="s">
        <v>1589</v>
      </c>
      <c r="J248" s="162" t="s">
        <v>1586</v>
      </c>
      <c r="K248" s="15" t="s">
        <v>448</v>
      </c>
      <c r="L248" s="15" t="s">
        <v>390</v>
      </c>
      <c r="M248" s="15" t="s">
        <v>81</v>
      </c>
      <c r="N248" s="15" t="s">
        <v>82</v>
      </c>
      <c r="O248" s="15" t="s">
        <v>35</v>
      </c>
      <c r="Q248" s="15" t="s">
        <v>121</v>
      </c>
      <c r="R248" s="166"/>
      <c r="S248" s="120"/>
      <c r="T248" s="69">
        <v>2448000.0</v>
      </c>
      <c r="U248" s="69"/>
      <c r="V248" s="132"/>
      <c r="W248" s="96" t="str">
        <f t="shared" si="125"/>
        <v/>
      </c>
      <c r="X248" s="98">
        <f t="shared" si="126"/>
        <v>2448000</v>
      </c>
      <c r="Y248" s="99" t="str">
        <f t="shared" si="127"/>
        <v>$2M - $4M</v>
      </c>
      <c r="Z248" s="15" t="s">
        <v>36</v>
      </c>
      <c r="AA248" s="15" t="s">
        <v>123</v>
      </c>
      <c r="AB248" s="15" t="s">
        <v>38</v>
      </c>
      <c r="AC248" s="15" t="s">
        <v>493</v>
      </c>
      <c r="AD248" s="15" t="s">
        <v>89</v>
      </c>
      <c r="AE248" s="15" t="s">
        <v>89</v>
      </c>
      <c r="AF248" s="15" t="s">
        <v>469</v>
      </c>
      <c r="AG248" s="69">
        <v>3.194E11</v>
      </c>
      <c r="AH248" s="97" t="str">
        <f t="shared" si="128"/>
        <v>$250B-$500B</v>
      </c>
      <c r="AI248" s="69">
        <v>3.194E11</v>
      </c>
      <c r="AJ248" s="97" t="str">
        <f t="shared" si="129"/>
        <v>$250B-$500B</v>
      </c>
      <c r="AK248" s="167">
        <v>0.08</v>
      </c>
      <c r="AL248" s="88" t="str">
        <f t="shared" si="130"/>
        <v>0%-10%</v>
      </c>
      <c r="AM248" s="32">
        <v>179.0</v>
      </c>
      <c r="AN248" s="15" t="s">
        <v>89</v>
      </c>
      <c r="AO248" s="15" t="s">
        <v>89</v>
      </c>
      <c r="AP248" s="15" t="s">
        <v>40</v>
      </c>
      <c r="AQ248" s="168"/>
      <c r="AR248" s="168"/>
      <c r="AS248" s="15" t="s">
        <v>469</v>
      </c>
      <c r="AT248" s="15" t="s">
        <v>469</v>
      </c>
      <c r="AU248" s="15" t="s">
        <v>493</v>
      </c>
      <c r="AV248" s="15" t="s">
        <v>493</v>
      </c>
      <c r="AW248" s="69">
        <v>128989.0</v>
      </c>
      <c r="AX248" s="96" t="str">
        <f t="shared" si="131"/>
        <v>$100K - $500K</v>
      </c>
      <c r="AY248" s="69">
        <v>3108.0</v>
      </c>
      <c r="AZ248" s="69">
        <v>5000.0</v>
      </c>
      <c r="BA248" s="103" t="str">
        <f t="shared" si="132"/>
        <v>&lt; $10K</v>
      </c>
      <c r="BB248" s="103">
        <f t="shared" si="133"/>
        <v>0.6216</v>
      </c>
      <c r="BC248" s="103" t="str">
        <f t="shared" si="134"/>
        <v>60% - 70%</v>
      </c>
      <c r="BD248" s="15" t="s">
        <v>124</v>
      </c>
      <c r="BF248" s="15" t="s">
        <v>469</v>
      </c>
      <c r="BG248" s="15">
        <v>0.0</v>
      </c>
      <c r="BH248" s="15">
        <v>1.0</v>
      </c>
      <c r="BI248" s="15" t="s">
        <v>493</v>
      </c>
      <c r="BJ248" s="15" t="s">
        <v>469</v>
      </c>
      <c r="BK248" s="15" t="s">
        <v>493</v>
      </c>
      <c r="BL248" s="15" t="s">
        <v>469</v>
      </c>
      <c r="BM248" s="15">
        <v>1.0</v>
      </c>
      <c r="BN248" s="15">
        <v>8.0</v>
      </c>
      <c r="BO248" s="15">
        <v>3.0</v>
      </c>
      <c r="BP248" s="15">
        <v>0.0</v>
      </c>
      <c r="BQ248" s="108"/>
      <c r="BR248" s="15">
        <v>3.0</v>
      </c>
      <c r="BS248" s="15">
        <v>0.0</v>
      </c>
      <c r="BT248" s="15">
        <v>0.0</v>
      </c>
      <c r="BU248" s="15">
        <v>42.0</v>
      </c>
      <c r="BV248" s="15" t="s">
        <v>469</v>
      </c>
      <c r="BW248" s="108"/>
      <c r="CC248" s="108"/>
      <c r="CI248" s="108"/>
      <c r="CO248" s="108"/>
      <c r="CU248" s="108"/>
      <c r="DA248" s="108"/>
      <c r="DG248" s="108"/>
      <c r="DM248" s="108"/>
      <c r="DS248" s="108"/>
      <c r="DT248" s="108"/>
      <c r="DU248" s="108"/>
      <c r="DW248" s="109"/>
      <c r="DX248" s="110">
        <f t="shared" si="13"/>
        <v>3</v>
      </c>
      <c r="DY248" s="111">
        <f t="shared" ref="DY248:DZ248" si="555">sum(BS248,BY248,CE248,CK248,CQ248,CW248,DC248,DI248,DO248)</f>
        <v>0</v>
      </c>
      <c r="DZ248" s="111">
        <f t="shared" si="555"/>
        <v>0</v>
      </c>
      <c r="EA248" s="110">
        <f t="shared" si="15"/>
        <v>42</v>
      </c>
      <c r="EB248" s="99" t="str">
        <f t="shared" si="16"/>
        <v>35 - 54</v>
      </c>
      <c r="EC248" s="112"/>
      <c r="ED248" s="113">
        <f t="shared" si="17"/>
        <v>4.6</v>
      </c>
      <c r="EE248" s="114" t="str">
        <f>IF(V248 &lt;&gt; "", 1+((V248-MIN(discount_rates))*(4)/(MAX(discount_rates) - MIN(discount_rates))), "")</f>
        <v/>
      </c>
      <c r="EF248" s="114" t="str">
        <f>IF(Q248="Debt", (1+((S248-MIN(interest_rates))*(4)/(MAX(interest_rates) - MIN(interest_rates)))), "")</f>
        <v/>
      </c>
      <c r="EG248" s="114" t="str">
        <f>IF(OR(Q248="Revenue Share", Q248="Profit Share"), (1+((R248-MIN(return_mutiples))*(4)/(MAX(return_mutiples) - MIN(return_mutiples)))), "")</f>
        <v/>
      </c>
      <c r="EH248" s="115">
        <f t="shared" si="18"/>
        <v>4.6</v>
      </c>
      <c r="EI248" s="116" t="str">
        <f t="shared" si="19"/>
        <v>Equity - Common</v>
      </c>
      <c r="EJ248" s="117">
        <f t="shared" si="20"/>
        <v>0.3287671233</v>
      </c>
      <c r="EK248" s="116" t="str">
        <f t="shared" si="21"/>
        <v>Growth</v>
      </c>
      <c r="EL248" s="112"/>
      <c r="EM248" s="118">
        <f t="shared" si="22"/>
        <v>4.4</v>
      </c>
      <c r="EN248" s="118">
        <f t="shared" si="23"/>
        <v>1.7</v>
      </c>
      <c r="EO248" s="119">
        <f t="shared" si="24"/>
        <v>6.1</v>
      </c>
      <c r="EP248" s="115">
        <f>1+((EO248-MIN(market_ratings_sums))*(4)/(MAX(market_ratings_sums) - MIN(market_ratings_sums)))</f>
        <v>3.385964912</v>
      </c>
      <c r="EQ248" s="116" t="str">
        <f t="shared" si="25"/>
        <v>No</v>
      </c>
      <c r="ER248" s="112"/>
      <c r="ES248" s="123">
        <f>1+((DX248-MIN(industry_experiences))*(4)/(MAX(industry_experiences) - MIN(industry_experiences)))</f>
        <v>1.285714286</v>
      </c>
      <c r="ET248" s="123">
        <f>1+((DY248-MIN(previous_startups))*(4)/(MAX(previous_startups) - MIN(previous_startups)))</f>
        <v>1</v>
      </c>
      <c r="EU248" s="123">
        <f>1+((DZ248-MIN(exits))*(4)/(MAX(exits) - MIN(exits)))</f>
        <v>1</v>
      </c>
      <c r="EV248" s="119">
        <f t="shared" si="26"/>
        <v>3.285714286</v>
      </c>
      <c r="EW248" s="124">
        <f>1+((EV248-MIN(team_ratings_sums))*(4)/(MAX(team_ratings_sums) - MIN(team_ratings_sums)))</f>
        <v>1.156521739</v>
      </c>
      <c r="EX248" s="116" t="str">
        <f t="shared" si="27"/>
        <v>35 - 54</v>
      </c>
      <c r="EY248" s="125">
        <f t="shared" si="28"/>
        <v>0.6849315068</v>
      </c>
      <c r="EZ248" s="116">
        <f t="shared" si="29"/>
        <v>1</v>
      </c>
      <c r="FA248" s="125">
        <f t="shared" si="30"/>
        <v>0.4383561644</v>
      </c>
      <c r="FB248" s="116">
        <f t="shared" si="31"/>
        <v>8</v>
      </c>
      <c r="FC248" s="125">
        <f t="shared" si="32"/>
        <v>0.05479452055</v>
      </c>
      <c r="FD248" s="116" t="str">
        <f t="shared" si="33"/>
        <v>Yes</v>
      </c>
      <c r="FE248" s="125">
        <f t="shared" si="34"/>
        <v>0.2465753425</v>
      </c>
      <c r="FF248" s="116" t="str">
        <f t="shared" ref="FF248:FH248" si="556">BJ248</f>
        <v>No</v>
      </c>
      <c r="FG248" s="116" t="str">
        <f t="shared" si="556"/>
        <v>Yes</v>
      </c>
      <c r="FH248" s="116" t="str">
        <f t="shared" si="556"/>
        <v>No</v>
      </c>
      <c r="FI248" s="112"/>
      <c r="FJ248" s="116" t="str">
        <f t="shared" si="36"/>
        <v>Transactional</v>
      </c>
      <c r="FK248" s="125">
        <f t="shared" si="37"/>
        <v>0.602739726</v>
      </c>
      <c r="FL248" s="116" t="str">
        <f t="shared" si="38"/>
        <v>B2B/B2C</v>
      </c>
      <c r="FM248" s="125">
        <f t="shared" si="39"/>
        <v>0.3287671233</v>
      </c>
      <c r="FN248" s="116" t="str">
        <f t="shared" si="40"/>
        <v>Low</v>
      </c>
      <c r="FO248" s="125">
        <f t="shared" si="41"/>
        <v>0.4383561644</v>
      </c>
      <c r="FP248" s="116" t="str">
        <f t="shared" si="42"/>
        <v>Low</v>
      </c>
      <c r="FQ248" s="125">
        <f t="shared" si="43"/>
        <v>0.3561643836</v>
      </c>
      <c r="FR248" s="112"/>
      <c r="FS248" s="123">
        <f t="shared" si="44"/>
        <v>5</v>
      </c>
      <c r="FT248" s="123">
        <f t="shared" si="45"/>
        <v>2.3</v>
      </c>
      <c r="FU248" s="123">
        <f t="shared" si="46"/>
        <v>2.3</v>
      </c>
      <c r="FV248" s="123">
        <f t="shared" si="47"/>
        <v>5</v>
      </c>
      <c r="FW248" s="119">
        <f t="shared" si="48"/>
        <v>14.6</v>
      </c>
      <c r="FX248" s="115">
        <f>1+((FW248-MIN(performance_ratings_sums))*(4)/(MAX(performance_ratings_sums) - MIN(performance_ratings_sums)))</f>
        <v>3.953271028</v>
      </c>
      <c r="FY248" s="116" t="str">
        <f t="shared" si="49"/>
        <v>Profitable</v>
      </c>
      <c r="FZ248" s="126">
        <f t="shared" si="50"/>
        <v>0.06849315068</v>
      </c>
      <c r="GA248" s="112"/>
      <c r="GB248" s="127">
        <f t="shared" si="51"/>
        <v>1</v>
      </c>
      <c r="GC248" s="116" t="str">
        <f t="shared" si="52"/>
        <v>No</v>
      </c>
      <c r="GD248" s="126">
        <f t="shared" si="53"/>
        <v>0.7671232877</v>
      </c>
      <c r="GE248" s="126" t="str">
        <f t="shared" si="54"/>
        <v/>
      </c>
      <c r="GF248" s="126">
        <f t="shared" si="55"/>
        <v>0</v>
      </c>
      <c r="GG248" s="126" t="str">
        <f t="shared" si="56"/>
        <v/>
      </c>
      <c r="GH248" s="126">
        <f t="shared" si="57"/>
        <v>0</v>
      </c>
      <c r="GI248" s="112"/>
      <c r="GJ248" s="116"/>
      <c r="GK248" s="119">
        <f t="shared" si="58"/>
        <v>14.09575768</v>
      </c>
      <c r="GL248" s="128">
        <f>1+((GK248-MIN(ratings_sums))*(4)/(MAX(ratings_sums) - MIN(ratings_sums)))</f>
        <v>3.117738028</v>
      </c>
    </row>
    <row r="249" ht="15.75" customHeight="1">
      <c r="A249" s="161" t="s">
        <v>1128</v>
      </c>
      <c r="B249" s="15">
        <v>1801610.0</v>
      </c>
      <c r="C249" s="162" t="s">
        <v>1590</v>
      </c>
      <c r="D249" s="209">
        <v>43865.55972222222</v>
      </c>
      <c r="E249" s="15" t="s">
        <v>369</v>
      </c>
      <c r="F249" s="164" t="s">
        <v>1591</v>
      </c>
      <c r="G249" s="164" t="s">
        <v>1592</v>
      </c>
      <c r="H249" s="210">
        <v>43865.0</v>
      </c>
      <c r="I249" s="162" t="s">
        <v>1593</v>
      </c>
      <c r="J249" s="162" t="s">
        <v>1590</v>
      </c>
      <c r="K249" s="15" t="s">
        <v>448</v>
      </c>
      <c r="L249" s="15" t="s">
        <v>390</v>
      </c>
      <c r="M249" s="15" t="s">
        <v>81</v>
      </c>
      <c r="N249" s="15" t="s">
        <v>101</v>
      </c>
      <c r="O249" s="15" t="s">
        <v>35</v>
      </c>
      <c r="Q249" s="15" t="s">
        <v>195</v>
      </c>
      <c r="R249" s="166"/>
      <c r="S249" s="120"/>
      <c r="T249" s="69"/>
      <c r="U249" s="69">
        <v>1.2E7</v>
      </c>
      <c r="V249" s="132">
        <v>0.1</v>
      </c>
      <c r="W249" s="96">
        <f t="shared" si="125"/>
        <v>10800000</v>
      </c>
      <c r="X249" s="98">
        <f t="shared" si="126"/>
        <v>10800000</v>
      </c>
      <c r="Y249" s="99" t="str">
        <f t="shared" si="127"/>
        <v>$10M - $12M</v>
      </c>
      <c r="Z249" s="15" t="s">
        <v>36</v>
      </c>
      <c r="AA249" s="15" t="s">
        <v>123</v>
      </c>
      <c r="AB249" s="15" t="s">
        <v>38</v>
      </c>
      <c r="AC249" s="15" t="s">
        <v>493</v>
      </c>
      <c r="AD249" s="15" t="s">
        <v>39</v>
      </c>
      <c r="AE249" s="15" t="s">
        <v>89</v>
      </c>
      <c r="AF249" s="15" t="s">
        <v>469</v>
      </c>
      <c r="AG249" s="69">
        <v>1.014E10</v>
      </c>
      <c r="AH249" s="97" t="str">
        <f t="shared" si="128"/>
        <v>$10B-$25B</v>
      </c>
      <c r="AI249" s="69">
        <v>2.6E9</v>
      </c>
      <c r="AJ249" s="97" t="str">
        <f t="shared" si="129"/>
        <v>$1B-$5B</v>
      </c>
      <c r="AK249" s="167">
        <v>0.02</v>
      </c>
      <c r="AL249" s="88" t="str">
        <f t="shared" si="130"/>
        <v>0%-10%</v>
      </c>
      <c r="AM249" s="32">
        <v>4374.0</v>
      </c>
      <c r="AN249" s="15" t="s">
        <v>89</v>
      </c>
      <c r="AO249" s="15" t="s">
        <v>89</v>
      </c>
      <c r="AP249" s="15" t="s">
        <v>40</v>
      </c>
      <c r="AQ249" s="168"/>
      <c r="AR249" s="168"/>
      <c r="AS249" s="15" t="s">
        <v>493</v>
      </c>
      <c r="AT249" s="15" t="s">
        <v>469</v>
      </c>
      <c r="AU249" s="15" t="s">
        <v>493</v>
      </c>
      <c r="AV249" s="15" t="s">
        <v>493</v>
      </c>
      <c r="AW249" s="69">
        <v>2692030.0</v>
      </c>
      <c r="AX249" s="96" t="str">
        <f t="shared" si="131"/>
        <v>$2M - $3M</v>
      </c>
      <c r="AY249" s="69">
        <v>2433.0</v>
      </c>
      <c r="AZ249" s="69">
        <v>1796000.0</v>
      </c>
      <c r="BA249" s="103" t="str">
        <f t="shared" si="132"/>
        <v>$1M - $2M</v>
      </c>
      <c r="BB249" s="103">
        <f t="shared" si="133"/>
        <v>0.00135467706</v>
      </c>
      <c r="BC249" s="103" t="str">
        <f t="shared" si="134"/>
        <v>&lt; 10%</v>
      </c>
      <c r="BD249" s="15" t="s">
        <v>124</v>
      </c>
      <c r="BF249" s="15" t="s">
        <v>493</v>
      </c>
      <c r="BG249" s="15">
        <v>0.0</v>
      </c>
      <c r="BH249" s="15">
        <v>1.0</v>
      </c>
      <c r="BI249" s="15" t="s">
        <v>493</v>
      </c>
      <c r="BJ249" s="15" t="s">
        <v>469</v>
      </c>
      <c r="BK249" s="15" t="s">
        <v>469</v>
      </c>
      <c r="BL249" s="15" t="s">
        <v>469</v>
      </c>
      <c r="BM249" s="15">
        <v>2.0</v>
      </c>
      <c r="BN249" s="15">
        <v>2.0</v>
      </c>
      <c r="BO249" s="15">
        <v>1.0</v>
      </c>
      <c r="BP249" s="15">
        <v>0.0</v>
      </c>
      <c r="BQ249" s="108"/>
      <c r="BR249" s="15">
        <v>12.0</v>
      </c>
      <c r="BS249" s="15">
        <v>1.0</v>
      </c>
      <c r="BT249" s="15">
        <v>0.0</v>
      </c>
      <c r="BU249" s="15">
        <v>40.0</v>
      </c>
      <c r="BV249" s="15" t="s">
        <v>469</v>
      </c>
      <c r="BW249" s="108"/>
      <c r="CC249" s="108"/>
      <c r="CI249" s="108"/>
      <c r="CO249" s="108"/>
      <c r="CU249" s="108"/>
      <c r="DA249" s="108"/>
      <c r="DG249" s="108"/>
      <c r="DM249" s="108"/>
      <c r="DS249" s="108"/>
      <c r="DT249" s="108"/>
      <c r="DU249" s="108"/>
      <c r="DW249" s="109"/>
      <c r="DX249" s="110">
        <f t="shared" si="13"/>
        <v>12</v>
      </c>
      <c r="DY249" s="111">
        <f t="shared" ref="DY249:DZ249" si="557">sum(BS249,BY249,CE249,CK249,CQ249,CW249,DC249,DI249,DO249)</f>
        <v>1</v>
      </c>
      <c r="DZ249" s="111">
        <f t="shared" si="557"/>
        <v>0</v>
      </c>
      <c r="EA249" s="110">
        <f t="shared" si="15"/>
        <v>40</v>
      </c>
      <c r="EB249" s="99" t="str">
        <f t="shared" si="16"/>
        <v>35 - 54</v>
      </c>
      <c r="EC249" s="112"/>
      <c r="ED249" s="113">
        <f t="shared" si="17"/>
        <v>3.9</v>
      </c>
      <c r="EE249" s="114">
        <f>IF(V249 &lt;&gt; "", 1+((V249-MIN(discount_rates))*(4)/(MAX(discount_rates) - MIN(discount_rates))), "")</f>
        <v>2.052631579</v>
      </c>
      <c r="EF249" s="114" t="str">
        <f>IF(Q249="Debt", (1+((S249-MIN(interest_rates))*(4)/(MAX(interest_rates) - MIN(interest_rates)))), "")</f>
        <v/>
      </c>
      <c r="EG249" s="114" t="str">
        <f>IF(OR(Q249="Revenue Share", Q249="Profit Share"), (1+((R249-MIN(return_mutiples))*(4)/(MAX(return_mutiples) - MIN(return_mutiples)))), "")</f>
        <v/>
      </c>
      <c r="EH249" s="115">
        <f t="shared" si="18"/>
        <v>3.9</v>
      </c>
      <c r="EI249" s="116" t="str">
        <f t="shared" si="19"/>
        <v>SAFE</v>
      </c>
      <c r="EJ249" s="117">
        <f t="shared" si="20"/>
        <v>0.3561643836</v>
      </c>
      <c r="EK249" s="116" t="str">
        <f t="shared" si="21"/>
        <v>Growth</v>
      </c>
      <c r="EL249" s="112"/>
      <c r="EM249" s="118">
        <f t="shared" si="22"/>
        <v>2.7</v>
      </c>
      <c r="EN249" s="118">
        <f t="shared" si="23"/>
        <v>1.7</v>
      </c>
      <c r="EO249" s="119">
        <f t="shared" si="24"/>
        <v>4.4</v>
      </c>
      <c r="EP249" s="115">
        <f>1+((EO249-MIN(market_ratings_sums))*(4)/(MAX(market_ratings_sums) - MIN(market_ratings_sums)))</f>
        <v>2.192982456</v>
      </c>
      <c r="EQ249" s="116" t="str">
        <f t="shared" si="25"/>
        <v>Yes</v>
      </c>
      <c r="ER249" s="112"/>
      <c r="ES249" s="123">
        <f>1+((DX249-MIN(industry_experiences))*(4)/(MAX(industry_experiences) - MIN(industry_experiences)))</f>
        <v>2.142857143</v>
      </c>
      <c r="ET249" s="123">
        <f>1+((DY249-MIN(previous_startups))*(4)/(MAX(previous_startups) - MIN(previous_startups)))</f>
        <v>1.444444444</v>
      </c>
      <c r="EU249" s="123">
        <f>1+((DZ249-MIN(exits))*(4)/(MAX(exits) - MIN(exits)))</f>
        <v>1</v>
      </c>
      <c r="EV249" s="119">
        <f t="shared" si="26"/>
        <v>4.587301587</v>
      </c>
      <c r="EW249" s="124">
        <f>1+((EV249-MIN(team_ratings_sums))*(4)/(MAX(team_ratings_sums) - MIN(team_ratings_sums)))</f>
        <v>1.869565217</v>
      </c>
      <c r="EX249" s="116" t="str">
        <f t="shared" si="27"/>
        <v>35 - 54</v>
      </c>
      <c r="EY249" s="125">
        <f t="shared" si="28"/>
        <v>0.6849315068</v>
      </c>
      <c r="EZ249" s="116">
        <f t="shared" si="29"/>
        <v>1</v>
      </c>
      <c r="FA249" s="125">
        <f t="shared" si="30"/>
        <v>0.4383561644</v>
      </c>
      <c r="FB249" s="116">
        <f t="shared" si="31"/>
        <v>2</v>
      </c>
      <c r="FC249" s="125">
        <f t="shared" si="32"/>
        <v>0.1369863014</v>
      </c>
      <c r="FD249" s="116" t="str">
        <f t="shared" si="33"/>
        <v>Yes</v>
      </c>
      <c r="FE249" s="125">
        <f t="shared" si="34"/>
        <v>0.2465753425</v>
      </c>
      <c r="FF249" s="116" t="str">
        <f t="shared" ref="FF249:FH249" si="558">BJ249</f>
        <v>No</v>
      </c>
      <c r="FG249" s="116" t="str">
        <f t="shared" si="558"/>
        <v>No</v>
      </c>
      <c r="FH249" s="116" t="str">
        <f t="shared" si="558"/>
        <v>No</v>
      </c>
      <c r="FI249" s="112"/>
      <c r="FJ249" s="116" t="str">
        <f t="shared" si="36"/>
        <v>Transactional</v>
      </c>
      <c r="FK249" s="125">
        <f t="shared" si="37"/>
        <v>0.602739726</v>
      </c>
      <c r="FL249" s="116" t="str">
        <f t="shared" si="38"/>
        <v>B2B/B2C</v>
      </c>
      <c r="FM249" s="125">
        <f t="shared" si="39"/>
        <v>0.3287671233</v>
      </c>
      <c r="FN249" s="116" t="str">
        <f t="shared" si="40"/>
        <v>High</v>
      </c>
      <c r="FO249" s="125">
        <f t="shared" si="41"/>
        <v>0.5616438356</v>
      </c>
      <c r="FP249" s="116" t="str">
        <f t="shared" si="42"/>
        <v>Low</v>
      </c>
      <c r="FQ249" s="125">
        <f t="shared" si="43"/>
        <v>0.3561643836</v>
      </c>
      <c r="FR249" s="112"/>
      <c r="FS249" s="123">
        <f t="shared" si="44"/>
        <v>5</v>
      </c>
      <c r="FT249" s="123">
        <f t="shared" si="45"/>
        <v>3.7</v>
      </c>
      <c r="FU249" s="123">
        <f t="shared" si="46"/>
        <v>5</v>
      </c>
      <c r="FV249" s="123">
        <f t="shared" si="47"/>
        <v>2.8</v>
      </c>
      <c r="FW249" s="119">
        <f t="shared" si="48"/>
        <v>16.5</v>
      </c>
      <c r="FX249" s="115">
        <f>1+((FW249-MIN(performance_ratings_sums))*(4)/(MAX(performance_ratings_sums) - MIN(performance_ratings_sums)))</f>
        <v>4.663551402</v>
      </c>
      <c r="FY249" s="116" t="str">
        <f t="shared" si="49"/>
        <v>Profitable</v>
      </c>
      <c r="FZ249" s="126">
        <f t="shared" si="50"/>
        <v>0.06849315068</v>
      </c>
      <c r="GA249" s="112"/>
      <c r="GB249" s="127">
        <f t="shared" si="51"/>
        <v>1</v>
      </c>
      <c r="GC249" s="116" t="str">
        <f t="shared" si="52"/>
        <v>No</v>
      </c>
      <c r="GD249" s="126">
        <f t="shared" si="53"/>
        <v>0.7671232877</v>
      </c>
      <c r="GE249" s="126" t="str">
        <f t="shared" si="54"/>
        <v/>
      </c>
      <c r="GF249" s="126">
        <f t="shared" si="55"/>
        <v>0</v>
      </c>
      <c r="GG249" s="126" t="str">
        <f t="shared" si="56"/>
        <v/>
      </c>
      <c r="GH249" s="126">
        <f t="shared" si="57"/>
        <v>0</v>
      </c>
      <c r="GI249" s="112"/>
      <c r="GJ249" s="116"/>
      <c r="GK249" s="119">
        <f t="shared" si="58"/>
        <v>13.62609908</v>
      </c>
      <c r="GL249" s="128">
        <f>1+((GK249-MIN(ratings_sums))*(4)/(MAX(ratings_sums) - MIN(ratings_sums)))</f>
        <v>2.973627998</v>
      </c>
    </row>
    <row r="250" ht="15.75" customHeight="1">
      <c r="A250" s="161" t="s">
        <v>1128</v>
      </c>
      <c r="B250" s="15">
        <v>1796093.0</v>
      </c>
      <c r="C250" s="162" t="s">
        <v>1594</v>
      </c>
      <c r="D250" s="209">
        <v>43865.56875</v>
      </c>
      <c r="E250" s="15" t="s">
        <v>392</v>
      </c>
      <c r="F250" s="164" t="s">
        <v>1595</v>
      </c>
      <c r="G250" s="164" t="s">
        <v>1596</v>
      </c>
      <c r="H250" s="210">
        <v>43846.0</v>
      </c>
      <c r="I250" s="162" t="s">
        <v>1597</v>
      </c>
      <c r="J250" s="162" t="s">
        <v>1598</v>
      </c>
      <c r="K250" s="15" t="s">
        <v>436</v>
      </c>
      <c r="L250" s="15" t="s">
        <v>390</v>
      </c>
      <c r="M250" s="15" t="s">
        <v>31</v>
      </c>
      <c r="N250" s="15" t="s">
        <v>32</v>
      </c>
      <c r="O250" s="15" t="s">
        <v>35</v>
      </c>
      <c r="Q250" s="15" t="s">
        <v>195</v>
      </c>
      <c r="R250" s="166"/>
      <c r="S250" s="120"/>
      <c r="T250" s="69"/>
      <c r="U250" s="69">
        <v>5000000.0</v>
      </c>
      <c r="V250" s="132">
        <v>0.2</v>
      </c>
      <c r="W250" s="96">
        <f t="shared" si="125"/>
        <v>4000000</v>
      </c>
      <c r="X250" s="98">
        <f t="shared" si="126"/>
        <v>4000000</v>
      </c>
      <c r="Y250" s="99" t="str">
        <f t="shared" si="127"/>
        <v>$2M - $4M</v>
      </c>
      <c r="Z250" s="15" t="s">
        <v>36</v>
      </c>
      <c r="AA250" s="15" t="s">
        <v>123</v>
      </c>
      <c r="AB250" s="15" t="s">
        <v>38</v>
      </c>
      <c r="AC250" s="15" t="s">
        <v>493</v>
      </c>
      <c r="AD250" s="15" t="s">
        <v>39</v>
      </c>
      <c r="AE250" s="15" t="s">
        <v>89</v>
      </c>
      <c r="AF250" s="15" t="s">
        <v>469</v>
      </c>
      <c r="AG250" s="69">
        <v>7.526E11</v>
      </c>
      <c r="AH250" s="97" t="str">
        <f t="shared" si="128"/>
        <v>$500B-$1T</v>
      </c>
      <c r="AI250" s="69">
        <v>7.526E11</v>
      </c>
      <c r="AJ250" s="97" t="str">
        <f t="shared" si="129"/>
        <v>$500B-$1T</v>
      </c>
      <c r="AK250" s="167">
        <v>0.13</v>
      </c>
      <c r="AL250" s="88" t="str">
        <f t="shared" si="130"/>
        <v>10%-20%</v>
      </c>
      <c r="AM250" s="15">
        <v>1.0</v>
      </c>
      <c r="AN250" s="15" t="s">
        <v>39</v>
      </c>
      <c r="AO250" s="15" t="s">
        <v>39</v>
      </c>
      <c r="AP250" s="15" t="s">
        <v>90</v>
      </c>
      <c r="AQ250" s="168"/>
      <c r="AR250" s="168"/>
      <c r="AS250" s="15" t="s">
        <v>493</v>
      </c>
      <c r="AT250" s="15" t="s">
        <v>469</v>
      </c>
      <c r="AU250" s="15" t="s">
        <v>469</v>
      </c>
      <c r="AV250" s="15" t="s">
        <v>469</v>
      </c>
      <c r="AW250" s="69">
        <v>0.0</v>
      </c>
      <c r="AX250" s="96" t="str">
        <f t="shared" si="131"/>
        <v>&lt; $10K</v>
      </c>
      <c r="AY250" s="69">
        <v>0.0</v>
      </c>
      <c r="AZ250" s="69">
        <v>0.0</v>
      </c>
      <c r="BA250" s="103" t="str">
        <f t="shared" si="132"/>
        <v>&lt; $10K</v>
      </c>
      <c r="BB250" s="103">
        <f t="shared" si="133"/>
        <v>1</v>
      </c>
      <c r="BC250" s="103" t="str">
        <f t="shared" si="134"/>
        <v>90% - 100%</v>
      </c>
      <c r="BD250" s="15" t="s">
        <v>41</v>
      </c>
      <c r="BF250" s="15" t="s">
        <v>469</v>
      </c>
      <c r="BG250" s="15">
        <v>0.0</v>
      </c>
      <c r="BH250" s="15">
        <v>3.0</v>
      </c>
      <c r="BI250" s="15" t="s">
        <v>493</v>
      </c>
      <c r="BJ250" s="15" t="s">
        <v>469</v>
      </c>
      <c r="BK250" s="15" t="s">
        <v>469</v>
      </c>
      <c r="BL250" s="15" t="s">
        <v>469</v>
      </c>
      <c r="BM250" s="15">
        <v>4.0</v>
      </c>
      <c r="BN250" s="15">
        <v>3.0</v>
      </c>
      <c r="BO250" s="15">
        <v>3.0</v>
      </c>
      <c r="BP250" s="15">
        <v>0.0</v>
      </c>
      <c r="BQ250" s="108"/>
      <c r="BR250" s="15">
        <v>10.0</v>
      </c>
      <c r="BS250" s="15">
        <v>1.0</v>
      </c>
      <c r="BT250" s="15">
        <v>0.0</v>
      </c>
      <c r="BU250" s="15">
        <v>35.0</v>
      </c>
      <c r="BV250" s="15" t="s">
        <v>469</v>
      </c>
      <c r="BW250" s="108"/>
      <c r="BX250" s="15">
        <v>0.0</v>
      </c>
      <c r="BY250" s="15">
        <v>1.0</v>
      </c>
      <c r="BZ250" s="15">
        <v>0.0</v>
      </c>
      <c r="CA250" s="15">
        <v>33.0</v>
      </c>
      <c r="CB250" s="15" t="s">
        <v>469</v>
      </c>
      <c r="CC250" s="108"/>
      <c r="CD250" s="15">
        <v>0.0</v>
      </c>
      <c r="CE250" s="15">
        <v>0.0</v>
      </c>
      <c r="CF250" s="15">
        <v>0.0</v>
      </c>
      <c r="CG250" s="15">
        <v>32.0</v>
      </c>
      <c r="CH250" s="15" t="s">
        <v>469</v>
      </c>
      <c r="CI250" s="108"/>
      <c r="CO250" s="108"/>
      <c r="CU250" s="108"/>
      <c r="DA250" s="108"/>
      <c r="DG250" s="108"/>
      <c r="DM250" s="108"/>
      <c r="DS250" s="108"/>
      <c r="DT250" s="108"/>
      <c r="DU250" s="108"/>
      <c r="DW250" s="109"/>
      <c r="DX250" s="110">
        <f t="shared" si="13"/>
        <v>3.333333333</v>
      </c>
      <c r="DY250" s="111">
        <f t="shared" ref="DY250:DZ250" si="559">sum(BS250,BY250,CE250,CK250,CQ250,CW250,DC250,DI250,DO250)</f>
        <v>2</v>
      </c>
      <c r="DZ250" s="111">
        <f t="shared" si="559"/>
        <v>0</v>
      </c>
      <c r="EA250" s="110">
        <f t="shared" si="15"/>
        <v>33.33333333</v>
      </c>
      <c r="EB250" s="99" t="str">
        <f t="shared" si="16"/>
        <v>20 - 34</v>
      </c>
      <c r="EC250" s="112"/>
      <c r="ED250" s="113">
        <f t="shared" si="17"/>
        <v>4.6</v>
      </c>
      <c r="EE250" s="114">
        <f>IF(V250 &lt;&gt; "", 1+((V250-MIN(discount_rates))*(4)/(MAX(discount_rates) - MIN(discount_rates))), "")</f>
        <v>3.105263158</v>
      </c>
      <c r="EF250" s="114" t="str">
        <f>IF(Q250="Debt", (1+((S250-MIN(interest_rates))*(4)/(MAX(interest_rates) - MIN(interest_rates)))), "")</f>
        <v/>
      </c>
      <c r="EG250" s="114" t="str">
        <f>IF(OR(Q250="Revenue Share", Q250="Profit Share"), (1+((R250-MIN(return_mutiples))*(4)/(MAX(return_mutiples) - MIN(return_mutiples)))), "")</f>
        <v/>
      </c>
      <c r="EH250" s="115">
        <f t="shared" si="18"/>
        <v>4.6</v>
      </c>
      <c r="EI250" s="116" t="str">
        <f t="shared" si="19"/>
        <v>SAFE</v>
      </c>
      <c r="EJ250" s="117">
        <f t="shared" si="20"/>
        <v>0.3561643836</v>
      </c>
      <c r="EK250" s="116" t="str">
        <f t="shared" si="21"/>
        <v>Early</v>
      </c>
      <c r="EL250" s="112"/>
      <c r="EM250" s="118">
        <f t="shared" si="22"/>
        <v>4.7</v>
      </c>
      <c r="EN250" s="118">
        <f t="shared" si="23"/>
        <v>2.3</v>
      </c>
      <c r="EO250" s="119">
        <f t="shared" si="24"/>
        <v>7</v>
      </c>
      <c r="EP250" s="115">
        <f>1+((EO250-MIN(market_ratings_sums))*(4)/(MAX(market_ratings_sums) - MIN(market_ratings_sums)))</f>
        <v>4.01754386</v>
      </c>
      <c r="EQ250" s="116" t="str">
        <f t="shared" si="25"/>
        <v>Yes</v>
      </c>
      <c r="ER250" s="112"/>
      <c r="ES250" s="123">
        <f>1+((DX250-MIN(industry_experiences))*(4)/(MAX(industry_experiences) - MIN(industry_experiences)))</f>
        <v>1.317460317</v>
      </c>
      <c r="ET250" s="123">
        <f>1+((DY250-MIN(previous_startups))*(4)/(MAX(previous_startups) - MIN(previous_startups)))</f>
        <v>1.888888889</v>
      </c>
      <c r="EU250" s="123">
        <f>1+((DZ250-MIN(exits))*(4)/(MAX(exits) - MIN(exits)))</f>
        <v>1</v>
      </c>
      <c r="EV250" s="119">
        <f t="shared" si="26"/>
        <v>4.206349206</v>
      </c>
      <c r="EW250" s="124">
        <f>1+((EV250-MIN(team_ratings_sums))*(4)/(MAX(team_ratings_sums) - MIN(team_ratings_sums)))</f>
        <v>1.660869565</v>
      </c>
      <c r="EX250" s="116" t="str">
        <f t="shared" si="27"/>
        <v>20 - 34</v>
      </c>
      <c r="EY250" s="125">
        <f t="shared" si="28"/>
        <v>0.2054794521</v>
      </c>
      <c r="EZ250" s="116">
        <f t="shared" si="29"/>
        <v>3</v>
      </c>
      <c r="FA250" s="125">
        <f t="shared" si="30"/>
        <v>0.05479452055</v>
      </c>
      <c r="FB250" s="116">
        <f t="shared" si="31"/>
        <v>3</v>
      </c>
      <c r="FC250" s="125">
        <f t="shared" si="32"/>
        <v>0.08219178082</v>
      </c>
      <c r="FD250" s="116" t="str">
        <f t="shared" si="33"/>
        <v>Yes</v>
      </c>
      <c r="FE250" s="125">
        <f t="shared" si="34"/>
        <v>0.2465753425</v>
      </c>
      <c r="FF250" s="116" t="str">
        <f t="shared" ref="FF250:FH250" si="560">BJ250</f>
        <v>No</v>
      </c>
      <c r="FG250" s="116" t="str">
        <f t="shared" si="560"/>
        <v>No</v>
      </c>
      <c r="FH250" s="116" t="str">
        <f t="shared" si="560"/>
        <v>No</v>
      </c>
      <c r="FI250" s="112"/>
      <c r="FJ250" s="116" t="str">
        <f t="shared" si="36"/>
        <v>Transactional</v>
      </c>
      <c r="FK250" s="125">
        <f t="shared" si="37"/>
        <v>0.602739726</v>
      </c>
      <c r="FL250" s="116" t="str">
        <f t="shared" si="38"/>
        <v>B2B/B2C</v>
      </c>
      <c r="FM250" s="125">
        <f t="shared" si="39"/>
        <v>0.3287671233</v>
      </c>
      <c r="FN250" s="116" t="str">
        <f t="shared" si="40"/>
        <v>High</v>
      </c>
      <c r="FO250" s="125">
        <f t="shared" si="41"/>
        <v>0.5616438356</v>
      </c>
      <c r="FP250" s="116" t="str">
        <f t="shared" si="42"/>
        <v>Low</v>
      </c>
      <c r="FQ250" s="125">
        <f t="shared" si="43"/>
        <v>0.3561643836</v>
      </c>
      <c r="FR250" s="112"/>
      <c r="FS250" s="123">
        <f t="shared" si="44"/>
        <v>1</v>
      </c>
      <c r="FT250" s="123">
        <f t="shared" si="45"/>
        <v>1</v>
      </c>
      <c r="FU250" s="123">
        <f t="shared" si="46"/>
        <v>1</v>
      </c>
      <c r="FV250" s="123">
        <f t="shared" si="47"/>
        <v>5</v>
      </c>
      <c r="FW250" s="119">
        <f t="shared" si="48"/>
        <v>8</v>
      </c>
      <c r="FX250" s="115">
        <f>1+((FW250-MIN(performance_ratings_sums))*(4)/(MAX(performance_ratings_sums) - MIN(performance_ratings_sums)))</f>
        <v>1.485981308</v>
      </c>
      <c r="FY250" s="116" t="str">
        <f t="shared" si="49"/>
        <v>Pre-Product</v>
      </c>
      <c r="FZ250" s="126">
        <f t="shared" si="50"/>
        <v>0.2328767123</v>
      </c>
      <c r="GA250" s="112"/>
      <c r="GB250" s="127">
        <f t="shared" si="51"/>
        <v>5</v>
      </c>
      <c r="GC250" s="116" t="str">
        <f t="shared" si="52"/>
        <v>No</v>
      </c>
      <c r="GD250" s="126">
        <f t="shared" si="53"/>
        <v>0.7671232877</v>
      </c>
      <c r="GE250" s="126" t="str">
        <f t="shared" si="54"/>
        <v/>
      </c>
      <c r="GF250" s="126">
        <f t="shared" si="55"/>
        <v>0</v>
      </c>
      <c r="GG250" s="126" t="str">
        <f t="shared" si="56"/>
        <v/>
      </c>
      <c r="GH250" s="126">
        <f t="shared" si="57"/>
        <v>0</v>
      </c>
      <c r="GI250" s="112"/>
      <c r="GJ250" s="116"/>
      <c r="GK250" s="119">
        <f t="shared" si="58"/>
        <v>16.76439473</v>
      </c>
      <c r="GL250" s="128">
        <f>1+((GK250-MIN(ratings_sums))*(4)/(MAX(ratings_sums) - MIN(ratings_sums)))</f>
        <v>3.936582535</v>
      </c>
    </row>
    <row r="251" ht="15.75" customHeight="1">
      <c r="A251" s="161" t="s">
        <v>1128</v>
      </c>
      <c r="B251" s="15">
        <v>1800456.0</v>
      </c>
      <c r="C251" s="162" t="s">
        <v>1599</v>
      </c>
      <c r="D251" s="209">
        <v>43866.694444444445</v>
      </c>
      <c r="E251" s="15" t="s">
        <v>392</v>
      </c>
      <c r="F251" s="164" t="s">
        <v>1600</v>
      </c>
      <c r="G251" s="164" t="s">
        <v>1601</v>
      </c>
      <c r="H251" s="210">
        <v>43851.0</v>
      </c>
      <c r="I251" s="162" t="s">
        <v>1602</v>
      </c>
      <c r="J251" s="162" t="s">
        <v>1599</v>
      </c>
      <c r="K251" s="15" t="s">
        <v>432</v>
      </c>
      <c r="L251" s="15" t="s">
        <v>355</v>
      </c>
      <c r="M251" s="15" t="s">
        <v>81</v>
      </c>
      <c r="N251" s="15" t="s">
        <v>101</v>
      </c>
      <c r="O251" s="15" t="s">
        <v>35</v>
      </c>
      <c r="Q251" s="15" t="s">
        <v>121</v>
      </c>
      <c r="R251" s="166"/>
      <c r="S251" s="120"/>
      <c r="T251" s="69">
        <v>1.56E7</v>
      </c>
      <c r="U251" s="69"/>
      <c r="V251" s="132"/>
      <c r="W251" s="96" t="str">
        <f t="shared" si="125"/>
        <v/>
      </c>
      <c r="X251" s="98">
        <f t="shared" si="126"/>
        <v>15600000</v>
      </c>
      <c r="Y251" s="99" t="str">
        <f t="shared" si="127"/>
        <v>$14M - $16M</v>
      </c>
      <c r="Z251" s="15" t="s">
        <v>86</v>
      </c>
      <c r="AA251" s="15" t="s">
        <v>123</v>
      </c>
      <c r="AB251" s="15" t="s">
        <v>38</v>
      </c>
      <c r="AC251" s="15" t="s">
        <v>493</v>
      </c>
      <c r="AD251" s="15" t="s">
        <v>39</v>
      </c>
      <c r="AE251" s="15" t="s">
        <v>89</v>
      </c>
      <c r="AF251" s="15" t="s">
        <v>469</v>
      </c>
      <c r="AG251" s="69">
        <v>1.265E9</v>
      </c>
      <c r="AH251" s="97" t="str">
        <f t="shared" si="128"/>
        <v>$1B-$5B</v>
      </c>
      <c r="AI251" s="69">
        <v>1.265E9</v>
      </c>
      <c r="AJ251" s="97" t="str">
        <f t="shared" si="129"/>
        <v>$1B-$5B</v>
      </c>
      <c r="AK251" s="167">
        <v>0.05</v>
      </c>
      <c r="AL251" s="88" t="str">
        <f t="shared" si="130"/>
        <v>0%-10%</v>
      </c>
      <c r="AM251" s="15">
        <v>0.0</v>
      </c>
      <c r="AN251" s="15" t="s">
        <v>39</v>
      </c>
      <c r="AO251" s="15" t="s">
        <v>39</v>
      </c>
      <c r="AP251" s="15" t="s">
        <v>90</v>
      </c>
      <c r="AQ251" s="168"/>
      <c r="AR251" s="168"/>
      <c r="AS251" s="15" t="s">
        <v>493</v>
      </c>
      <c r="AT251" s="15" t="s">
        <v>493</v>
      </c>
      <c r="AU251" s="15" t="s">
        <v>493</v>
      </c>
      <c r="AV251" s="15" t="s">
        <v>493</v>
      </c>
      <c r="AW251" s="69">
        <v>107966.0</v>
      </c>
      <c r="AX251" s="96" t="str">
        <f t="shared" si="131"/>
        <v>$100K - $500K</v>
      </c>
      <c r="AY251" s="69">
        <v>126105.0</v>
      </c>
      <c r="AZ251" s="69">
        <v>3476667.0</v>
      </c>
      <c r="BA251" s="103" t="str">
        <f t="shared" si="132"/>
        <v>$3M - $4M</v>
      </c>
      <c r="BB251" s="103">
        <f t="shared" si="133"/>
        <v>0.0362718086</v>
      </c>
      <c r="BC251" s="103" t="str">
        <f t="shared" si="134"/>
        <v>&lt; 10%</v>
      </c>
      <c r="BD251" s="15" t="s">
        <v>107</v>
      </c>
      <c r="BF251" s="15" t="s">
        <v>493</v>
      </c>
      <c r="BG251" s="15">
        <v>0.0</v>
      </c>
      <c r="BH251" s="15">
        <v>1.0</v>
      </c>
      <c r="BI251" s="15" t="s">
        <v>493</v>
      </c>
      <c r="BJ251" s="15" t="s">
        <v>469</v>
      </c>
      <c r="BK251" s="15" t="s">
        <v>469</v>
      </c>
      <c r="BL251" s="15" t="s">
        <v>493</v>
      </c>
      <c r="BM251" s="15">
        <v>1.0</v>
      </c>
      <c r="BN251" s="15">
        <v>15.0</v>
      </c>
      <c r="BO251" s="15">
        <v>0.0</v>
      </c>
      <c r="BP251" s="15">
        <v>0.0</v>
      </c>
      <c r="BQ251" s="108"/>
      <c r="BR251" s="15">
        <v>23.0</v>
      </c>
      <c r="BS251" s="15">
        <v>3.0</v>
      </c>
      <c r="BT251" s="15">
        <v>2.0</v>
      </c>
      <c r="BU251" s="15">
        <v>55.0</v>
      </c>
      <c r="BV251" s="15" t="s">
        <v>469</v>
      </c>
      <c r="BW251" s="108"/>
      <c r="CC251" s="108"/>
      <c r="CI251" s="108"/>
      <c r="CO251" s="108"/>
      <c r="CU251" s="108"/>
      <c r="DA251" s="108"/>
      <c r="DG251" s="108"/>
      <c r="DM251" s="108"/>
      <c r="DS251" s="108"/>
      <c r="DT251" s="108"/>
      <c r="DU251" s="108"/>
      <c r="DW251" s="109"/>
      <c r="DX251" s="110">
        <f t="shared" si="13"/>
        <v>23</v>
      </c>
      <c r="DY251" s="111">
        <f t="shared" ref="DY251:DZ251" si="561">sum(BS251,BY251,CE251,CK251,CQ251,CW251,DC251,DI251,DO251)</f>
        <v>3</v>
      </c>
      <c r="DZ251" s="111">
        <f t="shared" si="561"/>
        <v>2</v>
      </c>
      <c r="EA251" s="110">
        <f t="shared" si="15"/>
        <v>55</v>
      </c>
      <c r="EB251" s="99" t="str">
        <f t="shared" si="16"/>
        <v>55+</v>
      </c>
      <c r="EC251" s="112"/>
      <c r="ED251" s="113">
        <f t="shared" si="17"/>
        <v>3.5</v>
      </c>
      <c r="EE251" s="114" t="str">
        <f>IF(V251 &lt;&gt; "", 1+((V251-MIN(discount_rates))*(4)/(MAX(discount_rates) - MIN(discount_rates))), "")</f>
        <v/>
      </c>
      <c r="EF251" s="114" t="str">
        <f>IF(Q251="Debt", (1+((S251-MIN(interest_rates))*(4)/(MAX(interest_rates) - MIN(interest_rates)))), "")</f>
        <v/>
      </c>
      <c r="EG251" s="114" t="str">
        <f>IF(OR(Q251="Revenue Share", Q251="Profit Share"), (1+((R251-MIN(return_mutiples))*(4)/(MAX(return_mutiples) - MIN(return_mutiples)))), "")</f>
        <v/>
      </c>
      <c r="EH251" s="115">
        <f t="shared" si="18"/>
        <v>3.5</v>
      </c>
      <c r="EI251" s="116" t="str">
        <f t="shared" si="19"/>
        <v>Equity - Common</v>
      </c>
      <c r="EJ251" s="117">
        <f t="shared" si="20"/>
        <v>0.3287671233</v>
      </c>
      <c r="EK251" s="116" t="str">
        <f t="shared" si="21"/>
        <v>Growth</v>
      </c>
      <c r="EL251" s="112"/>
      <c r="EM251" s="118">
        <f t="shared" si="22"/>
        <v>2.7</v>
      </c>
      <c r="EN251" s="118">
        <f t="shared" si="23"/>
        <v>1.7</v>
      </c>
      <c r="EO251" s="119">
        <f t="shared" si="24"/>
        <v>4.4</v>
      </c>
      <c r="EP251" s="115">
        <f>1+((EO251-MIN(market_ratings_sums))*(4)/(MAX(market_ratings_sums) - MIN(market_ratings_sums)))</f>
        <v>2.192982456</v>
      </c>
      <c r="EQ251" s="116" t="str">
        <f t="shared" si="25"/>
        <v>Yes</v>
      </c>
      <c r="ER251" s="112"/>
      <c r="ES251" s="123">
        <f>1+((DX251-MIN(industry_experiences))*(4)/(MAX(industry_experiences) - MIN(industry_experiences)))</f>
        <v>3.19047619</v>
      </c>
      <c r="ET251" s="123">
        <f>1+((DY251-MIN(previous_startups))*(4)/(MAX(previous_startups) - MIN(previous_startups)))</f>
        <v>2.333333333</v>
      </c>
      <c r="EU251" s="123">
        <f>1+((DZ251-MIN(exits))*(4)/(MAX(exits) - MIN(exits)))</f>
        <v>3</v>
      </c>
      <c r="EV251" s="119">
        <f t="shared" si="26"/>
        <v>8.523809524</v>
      </c>
      <c r="EW251" s="124">
        <f>1+((EV251-MIN(team_ratings_sums))*(4)/(MAX(team_ratings_sums) - MIN(team_ratings_sums)))</f>
        <v>4.026086957</v>
      </c>
      <c r="EX251" s="116" t="str">
        <f t="shared" si="27"/>
        <v>55+</v>
      </c>
      <c r="EY251" s="125">
        <f t="shared" si="28"/>
        <v>0.1095890411</v>
      </c>
      <c r="EZ251" s="116">
        <f t="shared" si="29"/>
        <v>1</v>
      </c>
      <c r="FA251" s="125">
        <f t="shared" si="30"/>
        <v>0.4383561644</v>
      </c>
      <c r="FB251" s="116">
        <f t="shared" si="31"/>
        <v>15</v>
      </c>
      <c r="FC251" s="125">
        <f t="shared" si="32"/>
        <v>0.01369863014</v>
      </c>
      <c r="FD251" s="116" t="str">
        <f t="shared" si="33"/>
        <v>Yes</v>
      </c>
      <c r="FE251" s="125">
        <f t="shared" si="34"/>
        <v>0.2465753425</v>
      </c>
      <c r="FF251" s="116" t="str">
        <f t="shared" ref="FF251:FH251" si="562">BJ251</f>
        <v>No</v>
      </c>
      <c r="FG251" s="116" t="str">
        <f t="shared" si="562"/>
        <v>No</v>
      </c>
      <c r="FH251" s="116" t="str">
        <f t="shared" si="562"/>
        <v>Yes</v>
      </c>
      <c r="FI251" s="112"/>
      <c r="FJ251" s="116" t="str">
        <f t="shared" si="36"/>
        <v>Recurring</v>
      </c>
      <c r="FK251" s="125">
        <f t="shared" si="37"/>
        <v>0.397260274</v>
      </c>
      <c r="FL251" s="116" t="str">
        <f t="shared" si="38"/>
        <v>B2B/B2C</v>
      </c>
      <c r="FM251" s="125">
        <f t="shared" si="39"/>
        <v>0.3287671233</v>
      </c>
      <c r="FN251" s="116" t="str">
        <f t="shared" si="40"/>
        <v>High</v>
      </c>
      <c r="FO251" s="125">
        <f t="shared" si="41"/>
        <v>0.5616438356</v>
      </c>
      <c r="FP251" s="116" t="str">
        <f t="shared" si="42"/>
        <v>Low</v>
      </c>
      <c r="FQ251" s="125">
        <f t="shared" si="43"/>
        <v>0.3561643836</v>
      </c>
      <c r="FR251" s="112"/>
      <c r="FS251" s="123">
        <f t="shared" si="44"/>
        <v>5</v>
      </c>
      <c r="FT251" s="123">
        <f t="shared" si="45"/>
        <v>2.3</v>
      </c>
      <c r="FU251" s="123">
        <f t="shared" si="46"/>
        <v>5</v>
      </c>
      <c r="FV251" s="123">
        <f t="shared" si="47"/>
        <v>1.9</v>
      </c>
      <c r="FW251" s="119">
        <f t="shared" si="48"/>
        <v>14.2</v>
      </c>
      <c r="FX251" s="115">
        <f>1+((FW251-MIN(performance_ratings_sums))*(4)/(MAX(performance_ratings_sums) - MIN(performance_ratings_sums)))</f>
        <v>3.803738318</v>
      </c>
      <c r="FY251" s="116" t="str">
        <f t="shared" si="49"/>
        <v>Pre-Profit</v>
      </c>
      <c r="FZ251" s="126">
        <f t="shared" si="50"/>
        <v>0.4931506849</v>
      </c>
      <c r="GA251" s="112"/>
      <c r="GB251" s="127">
        <f t="shared" si="51"/>
        <v>5</v>
      </c>
      <c r="GC251" s="116" t="str">
        <f t="shared" si="52"/>
        <v>Yes</v>
      </c>
      <c r="GD251" s="126">
        <f t="shared" si="53"/>
        <v>0.2328767123</v>
      </c>
      <c r="GE251" s="126" t="str">
        <f t="shared" si="54"/>
        <v/>
      </c>
      <c r="GF251" s="126">
        <f t="shared" si="55"/>
        <v>0</v>
      </c>
      <c r="GG251" s="126" t="str">
        <f t="shared" si="56"/>
        <v/>
      </c>
      <c r="GH251" s="126">
        <f t="shared" si="57"/>
        <v>0</v>
      </c>
      <c r="GI251" s="112"/>
      <c r="GJ251" s="116"/>
      <c r="GK251" s="119">
        <f t="shared" si="58"/>
        <v>18.52280773</v>
      </c>
      <c r="GL251" s="128">
        <f>1+((GK251-MIN(ratings_sums))*(4)/(MAX(ratings_sums) - MIN(ratings_sums)))</f>
        <v>4.476133922</v>
      </c>
    </row>
    <row r="252" ht="15.75" customHeight="1">
      <c r="A252" s="161" t="s">
        <v>1128</v>
      </c>
      <c r="B252" s="15">
        <v>1785626.0</v>
      </c>
      <c r="C252" s="162" t="s">
        <v>1603</v>
      </c>
      <c r="D252" s="209">
        <v>43867.51388888889</v>
      </c>
      <c r="E252" s="15" t="s">
        <v>357</v>
      </c>
      <c r="F252" s="164" t="s">
        <v>1604</v>
      </c>
      <c r="G252" s="164" t="s">
        <v>1605</v>
      </c>
      <c r="H252" s="210">
        <v>43877.0</v>
      </c>
      <c r="I252" s="162" t="s">
        <v>1606</v>
      </c>
      <c r="J252" s="162" t="s">
        <v>1603</v>
      </c>
      <c r="K252" s="15" t="s">
        <v>153</v>
      </c>
      <c r="L252" s="15" t="s">
        <v>390</v>
      </c>
      <c r="M252" s="15" t="s">
        <v>31</v>
      </c>
      <c r="N252" s="15" t="s">
        <v>32</v>
      </c>
      <c r="O252" s="15" t="s">
        <v>35</v>
      </c>
      <c r="Q252" s="15" t="s">
        <v>195</v>
      </c>
      <c r="R252" s="166"/>
      <c r="S252" s="120"/>
      <c r="T252" s="69"/>
      <c r="U252" s="69">
        <v>2000000.0</v>
      </c>
      <c r="V252" s="132">
        <v>0.2</v>
      </c>
      <c r="W252" s="96">
        <f t="shared" si="125"/>
        <v>1600000</v>
      </c>
      <c r="X252" s="98">
        <f t="shared" si="126"/>
        <v>1600000</v>
      </c>
      <c r="Y252" s="99" t="str">
        <f t="shared" si="127"/>
        <v>$1M - $2M</v>
      </c>
      <c r="Z252" s="15" t="s">
        <v>36</v>
      </c>
      <c r="AA252" s="15" t="s">
        <v>123</v>
      </c>
      <c r="AB252" s="15" t="s">
        <v>38</v>
      </c>
      <c r="AC252" s="15" t="s">
        <v>493</v>
      </c>
      <c r="AD252" s="15" t="s">
        <v>89</v>
      </c>
      <c r="AE252" s="15" t="s">
        <v>89</v>
      </c>
      <c r="AF252" s="15" t="s">
        <v>469</v>
      </c>
      <c r="AG252" s="69">
        <v>1.991E10</v>
      </c>
      <c r="AH252" s="97" t="str">
        <f t="shared" si="128"/>
        <v>$10B-$25B</v>
      </c>
      <c r="AI252" s="69">
        <v>1.991E10</v>
      </c>
      <c r="AJ252" s="97" t="str">
        <f t="shared" si="129"/>
        <v>$10B-$25B</v>
      </c>
      <c r="AK252" s="167">
        <v>0.04</v>
      </c>
      <c r="AL252" s="88" t="str">
        <f t="shared" si="130"/>
        <v>0%-10%</v>
      </c>
      <c r="AM252" s="15">
        <v>21.0</v>
      </c>
      <c r="AN252" s="15" t="s">
        <v>89</v>
      </c>
      <c r="AO252" s="15" t="s">
        <v>89</v>
      </c>
      <c r="AP252" s="15" t="s">
        <v>40</v>
      </c>
      <c r="AQ252" s="168"/>
      <c r="AR252" s="168"/>
      <c r="AS252" s="15" t="s">
        <v>469</v>
      </c>
      <c r="AT252" s="15" t="s">
        <v>493</v>
      </c>
      <c r="AU252" s="15" t="s">
        <v>469</v>
      </c>
      <c r="AV252" s="15" t="s">
        <v>469</v>
      </c>
      <c r="AW252" s="69">
        <v>0.0</v>
      </c>
      <c r="AX252" s="96" t="str">
        <f t="shared" si="131"/>
        <v>&lt; $10K</v>
      </c>
      <c r="AY252" s="69">
        <v>667.0</v>
      </c>
      <c r="AZ252" s="69">
        <v>15000.0</v>
      </c>
      <c r="BA252" s="103" t="str">
        <f t="shared" si="132"/>
        <v>$10K - $50K</v>
      </c>
      <c r="BB252" s="103">
        <f t="shared" si="133"/>
        <v>0.04446666667</v>
      </c>
      <c r="BC252" s="103" t="str">
        <f t="shared" si="134"/>
        <v>&lt; 10%</v>
      </c>
      <c r="BD252" s="15" t="s">
        <v>91</v>
      </c>
      <c r="BF252" s="15" t="s">
        <v>493</v>
      </c>
      <c r="BG252" s="15">
        <v>0.0</v>
      </c>
      <c r="BH252" s="15">
        <v>1.0</v>
      </c>
      <c r="BI252" s="15" t="s">
        <v>469</v>
      </c>
      <c r="BJ252" s="15" t="s">
        <v>493</v>
      </c>
      <c r="BK252" s="15" t="s">
        <v>469</v>
      </c>
      <c r="BL252" s="15" t="s">
        <v>469</v>
      </c>
      <c r="BM252" s="15">
        <v>4.0</v>
      </c>
      <c r="BN252" s="15">
        <v>1.0</v>
      </c>
      <c r="BO252" s="15">
        <v>0.0</v>
      </c>
      <c r="BP252" s="15">
        <v>0.0</v>
      </c>
      <c r="BQ252" s="108"/>
      <c r="BR252" s="15">
        <v>0.0</v>
      </c>
      <c r="BS252" s="15">
        <v>0.0</v>
      </c>
      <c r="BT252" s="15">
        <v>0.0</v>
      </c>
      <c r="BU252" s="15">
        <v>33.0</v>
      </c>
      <c r="BV252" s="15" t="s">
        <v>469</v>
      </c>
      <c r="BW252" s="108"/>
      <c r="CC252" s="108"/>
      <c r="CI252" s="108"/>
      <c r="CO252" s="108"/>
      <c r="CU252" s="108"/>
      <c r="DA252" s="108"/>
      <c r="DG252" s="108"/>
      <c r="DM252" s="108"/>
      <c r="DS252" s="108"/>
      <c r="DT252" s="108"/>
      <c r="DU252" s="108"/>
      <c r="DW252" s="109"/>
      <c r="DX252" s="110">
        <f t="shared" si="13"/>
        <v>0</v>
      </c>
      <c r="DY252" s="111">
        <f t="shared" ref="DY252:DZ252" si="563">sum(BS252,BY252,CE252,CK252,CQ252,CW252,DC252,DI252,DO252)</f>
        <v>0</v>
      </c>
      <c r="DZ252" s="111">
        <f t="shared" si="563"/>
        <v>0</v>
      </c>
      <c r="EA252" s="110">
        <f t="shared" si="15"/>
        <v>33</v>
      </c>
      <c r="EB252" s="99" t="str">
        <f t="shared" si="16"/>
        <v>20 - 34</v>
      </c>
      <c r="EC252" s="112"/>
      <c r="ED252" s="113">
        <f t="shared" si="17"/>
        <v>4.8</v>
      </c>
      <c r="EE252" s="114">
        <f>IF(V252 &lt;&gt; "", 1+((V252-MIN(discount_rates))*(4)/(MAX(discount_rates) - MIN(discount_rates))), "")</f>
        <v>3.105263158</v>
      </c>
      <c r="EF252" s="114" t="str">
        <f>IF(Q252="Debt", (1+((S252-MIN(interest_rates))*(4)/(MAX(interest_rates) - MIN(interest_rates)))), "")</f>
        <v/>
      </c>
      <c r="EG252" s="114" t="str">
        <f>IF(OR(Q252="Revenue Share", Q252="Profit Share"), (1+((R252-MIN(return_mutiples))*(4)/(MAX(return_mutiples) - MIN(return_mutiples)))), "")</f>
        <v/>
      </c>
      <c r="EH252" s="115">
        <f t="shared" si="18"/>
        <v>4.8</v>
      </c>
      <c r="EI252" s="116" t="str">
        <f t="shared" si="19"/>
        <v>SAFE</v>
      </c>
      <c r="EJ252" s="117">
        <f t="shared" si="20"/>
        <v>0.3561643836</v>
      </c>
      <c r="EK252" s="116" t="str">
        <f t="shared" si="21"/>
        <v>Early</v>
      </c>
      <c r="EL252" s="112"/>
      <c r="EM252" s="118">
        <f t="shared" si="22"/>
        <v>3.3</v>
      </c>
      <c r="EN252" s="118">
        <f t="shared" si="23"/>
        <v>1.7</v>
      </c>
      <c r="EO252" s="119">
        <f t="shared" si="24"/>
        <v>5</v>
      </c>
      <c r="EP252" s="115">
        <f>1+((EO252-MIN(market_ratings_sums))*(4)/(MAX(market_ratings_sums) - MIN(market_ratings_sums)))</f>
        <v>2.614035088</v>
      </c>
      <c r="EQ252" s="116" t="str">
        <f t="shared" si="25"/>
        <v>No</v>
      </c>
      <c r="ER252" s="112"/>
      <c r="ES252" s="123">
        <f>1+((DX252-MIN(industry_experiences))*(4)/(MAX(industry_experiences) - MIN(industry_experiences)))</f>
        <v>1</v>
      </c>
      <c r="ET252" s="123">
        <f>1+((DY252-MIN(previous_startups))*(4)/(MAX(previous_startups) - MIN(previous_startups)))</f>
        <v>1</v>
      </c>
      <c r="EU252" s="123">
        <f>1+((DZ252-MIN(exits))*(4)/(MAX(exits) - MIN(exits)))</f>
        <v>1</v>
      </c>
      <c r="EV252" s="119">
        <f t="shared" si="26"/>
        <v>3</v>
      </c>
      <c r="EW252" s="124">
        <f>1+((EV252-MIN(team_ratings_sums))*(4)/(MAX(team_ratings_sums) - MIN(team_ratings_sums)))</f>
        <v>1</v>
      </c>
      <c r="EX252" s="116" t="str">
        <f t="shared" si="27"/>
        <v>20 - 34</v>
      </c>
      <c r="EY252" s="125">
        <f t="shared" si="28"/>
        <v>0.2054794521</v>
      </c>
      <c r="EZ252" s="116">
        <f t="shared" si="29"/>
        <v>1</v>
      </c>
      <c r="FA252" s="125">
        <f t="shared" si="30"/>
        <v>0.4383561644</v>
      </c>
      <c r="FB252" s="116">
        <f t="shared" si="31"/>
        <v>1</v>
      </c>
      <c r="FC252" s="125">
        <f t="shared" si="32"/>
        <v>0.08219178082</v>
      </c>
      <c r="FD252" s="116" t="str">
        <f t="shared" si="33"/>
        <v>No</v>
      </c>
      <c r="FE252" s="125">
        <f t="shared" si="34"/>
        <v>0.7534246575</v>
      </c>
      <c r="FF252" s="116" t="str">
        <f t="shared" ref="FF252:FH252" si="564">BJ252</f>
        <v>Yes</v>
      </c>
      <c r="FG252" s="116" t="str">
        <f t="shared" si="564"/>
        <v>No</v>
      </c>
      <c r="FH252" s="116" t="str">
        <f t="shared" si="564"/>
        <v>No</v>
      </c>
      <c r="FI252" s="112"/>
      <c r="FJ252" s="116" t="str">
        <f t="shared" si="36"/>
        <v>Transactional</v>
      </c>
      <c r="FK252" s="125">
        <f t="shared" si="37"/>
        <v>0.602739726</v>
      </c>
      <c r="FL252" s="116" t="str">
        <f t="shared" si="38"/>
        <v>B2B/B2C</v>
      </c>
      <c r="FM252" s="125">
        <f t="shared" si="39"/>
        <v>0.3287671233</v>
      </c>
      <c r="FN252" s="116" t="str">
        <f t="shared" si="40"/>
        <v>Low</v>
      </c>
      <c r="FO252" s="125">
        <f t="shared" si="41"/>
        <v>0.4383561644</v>
      </c>
      <c r="FP252" s="116" t="str">
        <f t="shared" si="42"/>
        <v>Low</v>
      </c>
      <c r="FQ252" s="125">
        <f t="shared" si="43"/>
        <v>0.3561643836</v>
      </c>
      <c r="FR252" s="112"/>
      <c r="FS252" s="123">
        <f t="shared" si="44"/>
        <v>1</v>
      </c>
      <c r="FT252" s="123">
        <f t="shared" si="45"/>
        <v>1</v>
      </c>
      <c r="FU252" s="123">
        <f t="shared" si="46"/>
        <v>5</v>
      </c>
      <c r="FV252" s="123">
        <f t="shared" si="47"/>
        <v>4.6</v>
      </c>
      <c r="FW252" s="119">
        <f t="shared" si="48"/>
        <v>11.6</v>
      </c>
      <c r="FX252" s="115">
        <f>1+((FW252-MIN(performance_ratings_sums))*(4)/(MAX(performance_ratings_sums) - MIN(performance_ratings_sums)))</f>
        <v>2.831775701</v>
      </c>
      <c r="FY252" s="116" t="str">
        <f t="shared" si="49"/>
        <v>Pre-Revenue</v>
      </c>
      <c r="FZ252" s="126">
        <f t="shared" si="50"/>
        <v>0.2054794521</v>
      </c>
      <c r="GA252" s="112"/>
      <c r="GB252" s="127">
        <f t="shared" si="51"/>
        <v>1</v>
      </c>
      <c r="GC252" s="116" t="str">
        <f t="shared" si="52"/>
        <v>Yes</v>
      </c>
      <c r="GD252" s="126">
        <f t="shared" si="53"/>
        <v>0.2328767123</v>
      </c>
      <c r="GE252" s="126" t="str">
        <f t="shared" si="54"/>
        <v/>
      </c>
      <c r="GF252" s="126">
        <f t="shared" si="55"/>
        <v>0</v>
      </c>
      <c r="GG252" s="126" t="str">
        <f t="shared" si="56"/>
        <v/>
      </c>
      <c r="GH252" s="126">
        <f t="shared" si="57"/>
        <v>0</v>
      </c>
      <c r="GI252" s="112"/>
      <c r="GJ252" s="116"/>
      <c r="GK252" s="119">
        <f t="shared" si="58"/>
        <v>12.24581079</v>
      </c>
      <c r="GL252" s="128">
        <f>1+((GK252-MIN(ratings_sums))*(4)/(MAX(ratings_sums) - MIN(ratings_sums)))</f>
        <v>2.550100385</v>
      </c>
    </row>
    <row r="253" ht="15.75" customHeight="1">
      <c r="A253" s="161" t="s">
        <v>1128</v>
      </c>
      <c r="B253" s="15">
        <v>1478985.0</v>
      </c>
      <c r="C253" s="162" t="s">
        <v>1607</v>
      </c>
      <c r="D253" s="209">
        <v>43868.58541666667</v>
      </c>
      <c r="E253" s="15" t="s">
        <v>381</v>
      </c>
      <c r="F253" s="164" t="s">
        <v>1608</v>
      </c>
      <c r="G253" s="164" t="s">
        <v>1609</v>
      </c>
      <c r="H253" s="210">
        <v>43889.0</v>
      </c>
      <c r="I253" s="162" t="s">
        <v>1610</v>
      </c>
      <c r="J253" s="162" t="s">
        <v>1611</v>
      </c>
      <c r="K253" s="15" t="s">
        <v>502</v>
      </c>
      <c r="L253" s="15" t="s">
        <v>117</v>
      </c>
      <c r="M253" s="15" t="s">
        <v>31</v>
      </c>
      <c r="N253" s="15" t="s">
        <v>119</v>
      </c>
      <c r="O253" s="15" t="s">
        <v>35</v>
      </c>
      <c r="Q253" s="15" t="s">
        <v>121</v>
      </c>
      <c r="R253" s="166"/>
      <c r="S253" s="120"/>
      <c r="T253" s="69">
        <v>6.793493E7</v>
      </c>
      <c r="U253" s="69"/>
      <c r="V253" s="132"/>
      <c r="W253" s="96" t="str">
        <f t="shared" si="125"/>
        <v/>
      </c>
      <c r="X253" s="98">
        <f t="shared" si="126"/>
        <v>67934930</v>
      </c>
      <c r="Y253" s="99" t="str">
        <f t="shared" si="127"/>
        <v>&lt; $40M</v>
      </c>
      <c r="Z253" s="15" t="s">
        <v>36</v>
      </c>
      <c r="AA253" s="15" t="s">
        <v>37</v>
      </c>
      <c r="AB253" s="15" t="s">
        <v>88</v>
      </c>
      <c r="AC253" s="15" t="s">
        <v>493</v>
      </c>
      <c r="AD253" s="15" t="s">
        <v>89</v>
      </c>
      <c r="AE253" s="15" t="s">
        <v>39</v>
      </c>
      <c r="AF253" s="15" t="s">
        <v>469</v>
      </c>
      <c r="AG253" s="69">
        <v>6.326E10</v>
      </c>
      <c r="AH253" s="97" t="str">
        <f t="shared" si="128"/>
        <v>$50B-$100B</v>
      </c>
      <c r="AI253" s="69">
        <v>6.326E10</v>
      </c>
      <c r="AJ253" s="97" t="str">
        <f t="shared" si="129"/>
        <v>$50B-$100B</v>
      </c>
      <c r="AK253" s="167">
        <v>0.21</v>
      </c>
      <c r="AL253" s="88" t="str">
        <f t="shared" si="130"/>
        <v>20%-30%</v>
      </c>
      <c r="AM253" s="32">
        <v>49.0</v>
      </c>
      <c r="AN253" s="15" t="s">
        <v>89</v>
      </c>
      <c r="AO253" s="15" t="s">
        <v>39</v>
      </c>
      <c r="AP253" s="15" t="s">
        <v>40</v>
      </c>
      <c r="AQ253" s="168"/>
      <c r="AR253" s="168"/>
      <c r="AS253" s="15" t="s">
        <v>493</v>
      </c>
      <c r="AT253" s="15" t="s">
        <v>493</v>
      </c>
      <c r="AU253" s="15" t="s">
        <v>493</v>
      </c>
      <c r="AV253" s="15" t="s">
        <v>493</v>
      </c>
      <c r="AW253" s="69">
        <v>6000.0</v>
      </c>
      <c r="AX253" s="96" t="str">
        <f t="shared" si="131"/>
        <v>&lt; $10K</v>
      </c>
      <c r="AY253" s="69">
        <v>148441.0</v>
      </c>
      <c r="AZ253" s="69">
        <v>1.3815635E7</v>
      </c>
      <c r="BA253" s="103" t="str">
        <f t="shared" si="132"/>
        <v>&gt; $5M</v>
      </c>
      <c r="BB253" s="103">
        <f t="shared" si="133"/>
        <v>0.01074442109</v>
      </c>
      <c r="BC253" s="103" t="str">
        <f t="shared" si="134"/>
        <v>&lt; 10%</v>
      </c>
      <c r="BD253" s="15" t="s">
        <v>107</v>
      </c>
      <c r="BF253" s="15" t="s">
        <v>493</v>
      </c>
      <c r="BG253" s="15">
        <v>0.0</v>
      </c>
      <c r="BH253" s="15">
        <v>1.0</v>
      </c>
      <c r="BI253" s="15" t="s">
        <v>493</v>
      </c>
      <c r="BJ253" s="15" t="s">
        <v>469</v>
      </c>
      <c r="BK253" s="15" t="s">
        <v>469</v>
      </c>
      <c r="BL253" s="15" t="s">
        <v>469</v>
      </c>
      <c r="BM253" s="15">
        <v>3.0</v>
      </c>
      <c r="BN253" s="15">
        <v>8.0</v>
      </c>
      <c r="BO253" s="15">
        <v>3.0</v>
      </c>
      <c r="BP253" s="15">
        <v>0.0</v>
      </c>
      <c r="BQ253" s="108"/>
      <c r="BR253" s="15">
        <v>18.0</v>
      </c>
      <c r="BS253" s="15">
        <v>1.0</v>
      </c>
      <c r="BT253" s="15">
        <v>0.0</v>
      </c>
      <c r="BU253" s="15">
        <v>55.0</v>
      </c>
      <c r="BV253" s="15" t="s">
        <v>493</v>
      </c>
      <c r="BW253" s="108"/>
      <c r="CC253" s="108"/>
      <c r="CI253" s="108"/>
      <c r="CO253" s="108"/>
      <c r="CU253" s="108"/>
      <c r="DA253" s="108"/>
      <c r="DG253" s="108"/>
      <c r="DM253" s="108"/>
      <c r="DS253" s="108"/>
      <c r="DT253" s="108"/>
      <c r="DU253" s="108"/>
      <c r="DW253" s="109"/>
      <c r="DX253" s="110">
        <f t="shared" si="13"/>
        <v>18</v>
      </c>
      <c r="DY253" s="111">
        <f t="shared" ref="DY253:DZ253" si="565">sum(BS253,BY253,CE253,CK253,CQ253,CW253,DC253,DI253,DO253)</f>
        <v>1</v>
      </c>
      <c r="DZ253" s="111">
        <f t="shared" si="565"/>
        <v>0</v>
      </c>
      <c r="EA253" s="110">
        <f t="shared" si="15"/>
        <v>55</v>
      </c>
      <c r="EB253" s="99" t="str">
        <f t="shared" si="16"/>
        <v>55+</v>
      </c>
      <c r="EC253" s="112"/>
      <c r="ED253" s="113">
        <f t="shared" si="17"/>
        <v>1</v>
      </c>
      <c r="EE253" s="114" t="str">
        <f>IF(V253 &lt;&gt; "", 1+((V253-MIN(discount_rates))*(4)/(MAX(discount_rates) - MIN(discount_rates))), "")</f>
        <v/>
      </c>
      <c r="EF253" s="114" t="str">
        <f>IF(Q253="Debt", (1+((S253-MIN(interest_rates))*(4)/(MAX(interest_rates) - MIN(interest_rates)))), "")</f>
        <v/>
      </c>
      <c r="EG253" s="114" t="str">
        <f>IF(OR(Q253="Revenue Share", Q253="Profit Share"), (1+((R253-MIN(return_mutiples))*(4)/(MAX(return_mutiples) - MIN(return_mutiples)))), "")</f>
        <v/>
      </c>
      <c r="EH253" s="115">
        <f t="shared" si="18"/>
        <v>1</v>
      </c>
      <c r="EI253" s="116" t="str">
        <f t="shared" si="19"/>
        <v>Equity - Common</v>
      </c>
      <c r="EJ253" s="117">
        <f t="shared" si="20"/>
        <v>0.3287671233</v>
      </c>
      <c r="EK253" s="116" t="str">
        <f t="shared" si="21"/>
        <v>Early</v>
      </c>
      <c r="EL253" s="112"/>
      <c r="EM253" s="118">
        <f t="shared" si="22"/>
        <v>3.9</v>
      </c>
      <c r="EN253" s="118">
        <f t="shared" si="23"/>
        <v>3</v>
      </c>
      <c r="EO253" s="119">
        <f t="shared" si="24"/>
        <v>6.9</v>
      </c>
      <c r="EP253" s="115">
        <f>1+((EO253-MIN(market_ratings_sums))*(4)/(MAX(market_ratings_sums) - MIN(market_ratings_sums)))</f>
        <v>3.947368421</v>
      </c>
      <c r="EQ253" s="116" t="str">
        <f t="shared" si="25"/>
        <v>Yes</v>
      </c>
      <c r="ER253" s="112"/>
      <c r="ES253" s="123">
        <f>1+((DX253-MIN(industry_experiences))*(4)/(MAX(industry_experiences) - MIN(industry_experiences)))</f>
        <v>2.714285714</v>
      </c>
      <c r="ET253" s="123">
        <f>1+((DY253-MIN(previous_startups))*(4)/(MAX(previous_startups) - MIN(previous_startups)))</f>
        <v>1.444444444</v>
      </c>
      <c r="EU253" s="123">
        <f>1+((DZ253-MIN(exits))*(4)/(MAX(exits) - MIN(exits)))</f>
        <v>1</v>
      </c>
      <c r="EV253" s="119">
        <f t="shared" si="26"/>
        <v>5.158730159</v>
      </c>
      <c r="EW253" s="124">
        <f>1+((EV253-MIN(team_ratings_sums))*(4)/(MAX(team_ratings_sums) - MIN(team_ratings_sums)))</f>
        <v>2.182608696</v>
      </c>
      <c r="EX253" s="116" t="str">
        <f t="shared" si="27"/>
        <v>55+</v>
      </c>
      <c r="EY253" s="125">
        <f t="shared" si="28"/>
        <v>0.1095890411</v>
      </c>
      <c r="EZ253" s="116">
        <f t="shared" si="29"/>
        <v>1</v>
      </c>
      <c r="FA253" s="125">
        <f t="shared" si="30"/>
        <v>0.4383561644</v>
      </c>
      <c r="FB253" s="116">
        <f t="shared" si="31"/>
        <v>8</v>
      </c>
      <c r="FC253" s="125">
        <f t="shared" si="32"/>
        <v>0.05479452055</v>
      </c>
      <c r="FD253" s="116" t="str">
        <f t="shared" si="33"/>
        <v>Yes</v>
      </c>
      <c r="FE253" s="125">
        <f t="shared" si="34"/>
        <v>0.2465753425</v>
      </c>
      <c r="FF253" s="116" t="str">
        <f t="shared" ref="FF253:FH253" si="566">BJ253</f>
        <v>No</v>
      </c>
      <c r="FG253" s="116" t="str">
        <f t="shared" si="566"/>
        <v>No</v>
      </c>
      <c r="FH253" s="116" t="str">
        <f t="shared" si="566"/>
        <v>No</v>
      </c>
      <c r="FI253" s="112"/>
      <c r="FJ253" s="116" t="str">
        <f t="shared" si="36"/>
        <v>Transactional</v>
      </c>
      <c r="FK253" s="125">
        <f t="shared" si="37"/>
        <v>0.602739726</v>
      </c>
      <c r="FL253" s="116" t="str">
        <f t="shared" si="38"/>
        <v>B2B</v>
      </c>
      <c r="FM253" s="125">
        <f t="shared" si="39"/>
        <v>0.2465753425</v>
      </c>
      <c r="FN253" s="116" t="str">
        <f t="shared" si="40"/>
        <v>Low</v>
      </c>
      <c r="FO253" s="125">
        <f t="shared" si="41"/>
        <v>0.4383561644</v>
      </c>
      <c r="FP253" s="116" t="str">
        <f t="shared" si="42"/>
        <v>High</v>
      </c>
      <c r="FQ253" s="125">
        <f t="shared" si="43"/>
        <v>0.6438356164</v>
      </c>
      <c r="FR253" s="112"/>
      <c r="FS253" s="123">
        <f t="shared" si="44"/>
        <v>5</v>
      </c>
      <c r="FT253" s="123">
        <f t="shared" si="45"/>
        <v>1</v>
      </c>
      <c r="FU253" s="123">
        <f t="shared" si="46"/>
        <v>5</v>
      </c>
      <c r="FV253" s="123">
        <f t="shared" si="47"/>
        <v>1</v>
      </c>
      <c r="FW253" s="119">
        <f t="shared" si="48"/>
        <v>12</v>
      </c>
      <c r="FX253" s="115">
        <f>1+((FW253-MIN(performance_ratings_sums))*(4)/(MAX(performance_ratings_sums) - MIN(performance_ratings_sums)))</f>
        <v>2.981308411</v>
      </c>
      <c r="FY253" s="116" t="str">
        <f t="shared" si="49"/>
        <v>Pre-Profit</v>
      </c>
      <c r="FZ253" s="126">
        <f t="shared" si="50"/>
        <v>0.4931506849</v>
      </c>
      <c r="GA253" s="112"/>
      <c r="GB253" s="127">
        <f t="shared" si="51"/>
        <v>3</v>
      </c>
      <c r="GC253" s="116" t="str">
        <f t="shared" si="52"/>
        <v>Yes</v>
      </c>
      <c r="GD253" s="126">
        <f t="shared" si="53"/>
        <v>0.2328767123</v>
      </c>
      <c r="GE253" s="126" t="str">
        <f t="shared" si="54"/>
        <v/>
      </c>
      <c r="GF253" s="126">
        <f t="shared" si="55"/>
        <v>0</v>
      </c>
      <c r="GG253" s="126" t="str">
        <f t="shared" si="56"/>
        <v/>
      </c>
      <c r="GH253" s="126">
        <f t="shared" si="57"/>
        <v>0</v>
      </c>
      <c r="GI253" s="112"/>
      <c r="GJ253" s="116"/>
      <c r="GK253" s="119">
        <f t="shared" si="58"/>
        <v>13.11128553</v>
      </c>
      <c r="GL253" s="128">
        <f>1+((GK253-MIN(ratings_sums))*(4)/(MAX(ratings_sums) - MIN(ratings_sums)))</f>
        <v>2.815662625</v>
      </c>
    </row>
    <row r="254" ht="15.75" customHeight="1">
      <c r="A254" s="161" t="s">
        <v>1128</v>
      </c>
      <c r="B254" s="15">
        <v>1767003.0</v>
      </c>
      <c r="C254" s="162" t="s">
        <v>1612</v>
      </c>
      <c r="D254" s="209">
        <v>43868.59166666667</v>
      </c>
      <c r="E254" s="15" t="s">
        <v>392</v>
      </c>
      <c r="F254" s="164" t="s">
        <v>1613</v>
      </c>
      <c r="G254" s="164" t="s">
        <v>1614</v>
      </c>
      <c r="H254" s="210">
        <v>43817.0</v>
      </c>
      <c r="I254" s="162" t="s">
        <v>1615</v>
      </c>
      <c r="J254" s="162" t="s">
        <v>1616</v>
      </c>
      <c r="K254" s="15" t="s">
        <v>467</v>
      </c>
      <c r="L254" s="15" t="s">
        <v>390</v>
      </c>
      <c r="M254" s="15" t="s">
        <v>31</v>
      </c>
      <c r="N254" s="15" t="s">
        <v>101</v>
      </c>
      <c r="O254" s="15" t="s">
        <v>35</v>
      </c>
      <c r="Q254" s="15" t="s">
        <v>135</v>
      </c>
      <c r="R254" s="166"/>
      <c r="S254" s="120"/>
      <c r="T254" s="69">
        <v>2970000.0</v>
      </c>
      <c r="U254" s="69"/>
      <c r="V254" s="132"/>
      <c r="W254" s="96" t="str">
        <f t="shared" si="125"/>
        <v/>
      </c>
      <c r="X254" s="98">
        <f t="shared" si="126"/>
        <v>2970000</v>
      </c>
      <c r="Y254" s="99" t="str">
        <f t="shared" si="127"/>
        <v>$2M - $4M</v>
      </c>
      <c r="Z254" s="15" t="s">
        <v>86</v>
      </c>
      <c r="AA254" s="15" t="s">
        <v>87</v>
      </c>
      <c r="AB254" s="15" t="s">
        <v>38</v>
      </c>
      <c r="AC254" s="15" t="s">
        <v>493</v>
      </c>
      <c r="AD254" s="15" t="s">
        <v>89</v>
      </c>
      <c r="AE254" s="15" t="s">
        <v>89</v>
      </c>
      <c r="AF254" s="15" t="s">
        <v>469</v>
      </c>
      <c r="AG254" s="69">
        <v>1.1E12</v>
      </c>
      <c r="AH254" s="97" t="str">
        <f t="shared" si="128"/>
        <v>&gt; $1T</v>
      </c>
      <c r="AI254" s="69">
        <v>1.1E12</v>
      </c>
      <c r="AJ254" s="97" t="str">
        <f t="shared" si="129"/>
        <v>&gt; $1T</v>
      </c>
      <c r="AK254" s="167">
        <v>0.03</v>
      </c>
      <c r="AL254" s="88" t="str">
        <f t="shared" si="130"/>
        <v>0%-10%</v>
      </c>
      <c r="AM254" s="15">
        <v>900.0</v>
      </c>
      <c r="AN254" s="15" t="s">
        <v>89</v>
      </c>
      <c r="AO254" s="15" t="s">
        <v>39</v>
      </c>
      <c r="AP254" s="15" t="s">
        <v>40</v>
      </c>
      <c r="AQ254" s="168"/>
      <c r="AR254" s="168"/>
      <c r="AS254" s="15" t="s">
        <v>493</v>
      </c>
      <c r="AT254" s="15" t="s">
        <v>469</v>
      </c>
      <c r="AU254" s="15" t="s">
        <v>469</v>
      </c>
      <c r="AV254" s="15" t="s">
        <v>469</v>
      </c>
      <c r="AW254" s="69">
        <v>0.0</v>
      </c>
      <c r="AX254" s="96" t="str">
        <f t="shared" si="131"/>
        <v>&lt; $10K</v>
      </c>
      <c r="AY254" s="69">
        <v>21043.0</v>
      </c>
      <c r="AZ254" s="69">
        <v>1243450.0</v>
      </c>
      <c r="BA254" s="103" t="str">
        <f t="shared" si="132"/>
        <v>$1M - $2M</v>
      </c>
      <c r="BB254" s="103">
        <f t="shared" si="133"/>
        <v>0.01692307692</v>
      </c>
      <c r="BC254" s="103" t="str">
        <f t="shared" si="134"/>
        <v>&lt; 10%</v>
      </c>
      <c r="BD254" s="15" t="s">
        <v>91</v>
      </c>
      <c r="BF254" s="15" t="s">
        <v>469</v>
      </c>
      <c r="BG254" s="15">
        <v>0.0</v>
      </c>
      <c r="BH254" s="15">
        <v>1.0</v>
      </c>
      <c r="BI254" s="15" t="s">
        <v>469</v>
      </c>
      <c r="BJ254" s="15" t="s">
        <v>469</v>
      </c>
      <c r="BK254" s="15" t="s">
        <v>493</v>
      </c>
      <c r="BL254" s="15" t="s">
        <v>469</v>
      </c>
      <c r="BM254" s="15">
        <v>3.0</v>
      </c>
      <c r="BN254" s="15">
        <v>5.0</v>
      </c>
      <c r="BO254" s="15">
        <v>1.0</v>
      </c>
      <c r="BP254" s="15">
        <v>0.0</v>
      </c>
      <c r="BQ254" s="108"/>
      <c r="BR254" s="15">
        <v>0.0</v>
      </c>
      <c r="BS254" s="15">
        <v>0.0</v>
      </c>
      <c r="BT254" s="15">
        <v>0.0</v>
      </c>
      <c r="BU254" s="15">
        <v>72.0</v>
      </c>
      <c r="BV254" s="15" t="s">
        <v>493</v>
      </c>
      <c r="BW254" s="108"/>
      <c r="CC254" s="108"/>
      <c r="CI254" s="108"/>
      <c r="CO254" s="108"/>
      <c r="CU254" s="108"/>
      <c r="DA254" s="108"/>
      <c r="DG254" s="108"/>
      <c r="DM254" s="108"/>
      <c r="DS254" s="108"/>
      <c r="DT254" s="108"/>
      <c r="DU254" s="108"/>
      <c r="DW254" s="109"/>
      <c r="DX254" s="110">
        <f t="shared" si="13"/>
        <v>0</v>
      </c>
      <c r="DY254" s="111">
        <f t="shared" ref="DY254:DZ254" si="567">sum(BS254,BY254,CE254,CK254,CQ254,CW254,DC254,DI254,DO254)</f>
        <v>0</v>
      </c>
      <c r="DZ254" s="111">
        <f t="shared" si="567"/>
        <v>0</v>
      </c>
      <c r="EA254" s="110">
        <f t="shared" si="15"/>
        <v>72</v>
      </c>
      <c r="EB254" s="99" t="str">
        <f t="shared" si="16"/>
        <v>55+</v>
      </c>
      <c r="EC254" s="112"/>
      <c r="ED254" s="113">
        <f t="shared" si="17"/>
        <v>4.6</v>
      </c>
      <c r="EE254" s="114" t="str">
        <f>IF(V254 &lt;&gt; "", 1+((V254-MIN(discount_rates))*(4)/(MAX(discount_rates) - MIN(discount_rates))), "")</f>
        <v/>
      </c>
      <c r="EF254" s="114" t="str">
        <f>IF(Q254="Debt", (1+((S254-MIN(interest_rates))*(4)/(MAX(interest_rates) - MIN(interest_rates)))), "")</f>
        <v/>
      </c>
      <c r="EG254" s="114" t="str">
        <f>IF(OR(Q254="Revenue Share", Q254="Profit Share"), (1+((R254-MIN(return_mutiples))*(4)/(MAX(return_mutiples) - MIN(return_mutiples)))), "")</f>
        <v/>
      </c>
      <c r="EH254" s="115">
        <f t="shared" si="18"/>
        <v>4.6</v>
      </c>
      <c r="EI254" s="116" t="str">
        <f t="shared" si="19"/>
        <v>Equity - Preferred</v>
      </c>
      <c r="EJ254" s="117">
        <f t="shared" si="20"/>
        <v>0.06849315068</v>
      </c>
      <c r="EK254" s="116" t="str">
        <f t="shared" si="21"/>
        <v>Early</v>
      </c>
      <c r="EL254" s="112"/>
      <c r="EM254" s="118">
        <f t="shared" si="22"/>
        <v>5</v>
      </c>
      <c r="EN254" s="118">
        <f t="shared" si="23"/>
        <v>1.7</v>
      </c>
      <c r="EO254" s="119">
        <f t="shared" si="24"/>
        <v>6.7</v>
      </c>
      <c r="EP254" s="115">
        <f>1+((EO254-MIN(market_ratings_sums))*(4)/(MAX(market_ratings_sums) - MIN(market_ratings_sums)))</f>
        <v>3.807017544</v>
      </c>
      <c r="EQ254" s="116" t="str">
        <f t="shared" si="25"/>
        <v>Yes</v>
      </c>
      <c r="ER254" s="112"/>
      <c r="ES254" s="123">
        <f>1+((DX254-MIN(industry_experiences))*(4)/(MAX(industry_experiences) - MIN(industry_experiences)))</f>
        <v>1</v>
      </c>
      <c r="ET254" s="123">
        <f>1+((DY254-MIN(previous_startups))*(4)/(MAX(previous_startups) - MIN(previous_startups)))</f>
        <v>1</v>
      </c>
      <c r="EU254" s="123">
        <f>1+((DZ254-MIN(exits))*(4)/(MAX(exits) - MIN(exits)))</f>
        <v>1</v>
      </c>
      <c r="EV254" s="119">
        <f t="shared" si="26"/>
        <v>3</v>
      </c>
      <c r="EW254" s="124">
        <f>1+((EV254-MIN(team_ratings_sums))*(4)/(MAX(team_ratings_sums) - MIN(team_ratings_sums)))</f>
        <v>1</v>
      </c>
      <c r="EX254" s="116" t="str">
        <f t="shared" si="27"/>
        <v>55+</v>
      </c>
      <c r="EY254" s="125">
        <f t="shared" si="28"/>
        <v>0.1095890411</v>
      </c>
      <c r="EZ254" s="116">
        <f t="shared" si="29"/>
        <v>1</v>
      </c>
      <c r="FA254" s="125">
        <f t="shared" si="30"/>
        <v>0.4383561644</v>
      </c>
      <c r="FB254" s="116">
        <f t="shared" si="31"/>
        <v>5</v>
      </c>
      <c r="FC254" s="125">
        <f t="shared" si="32"/>
        <v>0.1369863014</v>
      </c>
      <c r="FD254" s="116" t="str">
        <f t="shared" si="33"/>
        <v>No</v>
      </c>
      <c r="FE254" s="125">
        <f t="shared" si="34"/>
        <v>0.7534246575</v>
      </c>
      <c r="FF254" s="116" t="str">
        <f t="shared" ref="FF254:FH254" si="568">BJ254</f>
        <v>No</v>
      </c>
      <c r="FG254" s="116" t="str">
        <f t="shared" si="568"/>
        <v>Yes</v>
      </c>
      <c r="FH254" s="116" t="str">
        <f t="shared" si="568"/>
        <v>No</v>
      </c>
      <c r="FI254" s="112"/>
      <c r="FJ254" s="116" t="str">
        <f t="shared" si="36"/>
        <v>Recurring</v>
      </c>
      <c r="FK254" s="125">
        <f t="shared" si="37"/>
        <v>0.397260274</v>
      </c>
      <c r="FL254" s="116" t="str">
        <f t="shared" si="38"/>
        <v>B2C</v>
      </c>
      <c r="FM254" s="125">
        <f t="shared" si="39"/>
        <v>0.397260274</v>
      </c>
      <c r="FN254" s="116" t="str">
        <f t="shared" si="40"/>
        <v>Low</v>
      </c>
      <c r="FO254" s="125">
        <f t="shared" si="41"/>
        <v>0.4383561644</v>
      </c>
      <c r="FP254" s="116" t="str">
        <f t="shared" si="42"/>
        <v>Low</v>
      </c>
      <c r="FQ254" s="125">
        <f t="shared" si="43"/>
        <v>0.3561643836</v>
      </c>
      <c r="FR254" s="112"/>
      <c r="FS254" s="123">
        <f t="shared" si="44"/>
        <v>1</v>
      </c>
      <c r="FT254" s="123">
        <f t="shared" si="45"/>
        <v>1</v>
      </c>
      <c r="FU254" s="123">
        <f t="shared" si="46"/>
        <v>5</v>
      </c>
      <c r="FV254" s="123">
        <f t="shared" si="47"/>
        <v>2.8</v>
      </c>
      <c r="FW254" s="119">
        <f t="shared" si="48"/>
        <v>9.8</v>
      </c>
      <c r="FX254" s="115">
        <f>1+((FW254-MIN(performance_ratings_sums))*(4)/(MAX(performance_ratings_sums) - MIN(performance_ratings_sums)))</f>
        <v>2.158878505</v>
      </c>
      <c r="FY254" s="116" t="str">
        <f t="shared" si="49"/>
        <v>Pre-Revenue</v>
      </c>
      <c r="FZ254" s="126">
        <f t="shared" si="50"/>
        <v>0.2054794521</v>
      </c>
      <c r="GA254" s="112"/>
      <c r="GB254" s="127">
        <f t="shared" si="51"/>
        <v>3</v>
      </c>
      <c r="GC254" s="116" t="str">
        <f t="shared" si="52"/>
        <v>No</v>
      </c>
      <c r="GD254" s="126">
        <f t="shared" si="53"/>
        <v>0.7671232877</v>
      </c>
      <c r="GE254" s="126" t="str">
        <f t="shared" si="54"/>
        <v/>
      </c>
      <c r="GF254" s="126">
        <f t="shared" si="55"/>
        <v>0</v>
      </c>
      <c r="GG254" s="126" t="str">
        <f t="shared" si="56"/>
        <v/>
      </c>
      <c r="GH254" s="126">
        <f t="shared" si="57"/>
        <v>0</v>
      </c>
      <c r="GI254" s="112"/>
      <c r="GJ254" s="116"/>
      <c r="GK254" s="119">
        <f t="shared" si="58"/>
        <v>14.56589605</v>
      </c>
      <c r="GL254" s="128">
        <f>1+((GK254-MIN(ratings_sums))*(4)/(MAX(ratings_sums) - MIN(ratings_sums)))</f>
        <v>3.26199527</v>
      </c>
    </row>
    <row r="255" ht="15.75" customHeight="1">
      <c r="A255" s="161" t="s">
        <v>1128</v>
      </c>
      <c r="B255" s="15">
        <v>1800770.0</v>
      </c>
      <c r="C255" s="162" t="s">
        <v>1617</v>
      </c>
      <c r="D255" s="209">
        <v>43868.59305555555</v>
      </c>
      <c r="E255" s="15" t="s">
        <v>392</v>
      </c>
      <c r="F255" s="164" t="s">
        <v>1618</v>
      </c>
      <c r="G255" s="164" t="s">
        <v>1619</v>
      </c>
      <c r="H255" s="210">
        <v>43853.0</v>
      </c>
      <c r="I255" s="162" t="s">
        <v>1620</v>
      </c>
      <c r="J255" s="162" t="s">
        <v>1617</v>
      </c>
      <c r="K255" s="15" t="s">
        <v>432</v>
      </c>
      <c r="L255" s="15" t="s">
        <v>154</v>
      </c>
      <c r="M255" s="15" t="s">
        <v>81</v>
      </c>
      <c r="N255" s="15" t="s">
        <v>101</v>
      </c>
      <c r="O255" s="15" t="s">
        <v>35</v>
      </c>
      <c r="Q255" s="15" t="s">
        <v>195</v>
      </c>
      <c r="R255" s="166"/>
      <c r="S255" s="120"/>
      <c r="T255" s="69"/>
      <c r="U255" s="69">
        <v>1.0E7</v>
      </c>
      <c r="V255" s="132">
        <v>0.0</v>
      </c>
      <c r="W255" s="96">
        <f t="shared" si="125"/>
        <v>10000000</v>
      </c>
      <c r="X255" s="98">
        <f t="shared" si="126"/>
        <v>10000000</v>
      </c>
      <c r="Y255" s="99" t="str">
        <f t="shared" si="127"/>
        <v>$8M - $10M</v>
      </c>
      <c r="Z255" s="15" t="s">
        <v>86</v>
      </c>
      <c r="AA255" s="15" t="s">
        <v>123</v>
      </c>
      <c r="AB255" s="15" t="s">
        <v>38</v>
      </c>
      <c r="AC255" s="15" t="s">
        <v>493</v>
      </c>
      <c r="AD255" s="15" t="s">
        <v>39</v>
      </c>
      <c r="AE255" s="15" t="s">
        <v>89</v>
      </c>
      <c r="AF255" s="15" t="s">
        <v>469</v>
      </c>
      <c r="AG255" s="69">
        <v>8.026E10</v>
      </c>
      <c r="AH255" s="97" t="str">
        <f t="shared" si="128"/>
        <v>$50B-$100B</v>
      </c>
      <c r="AI255" s="69">
        <v>6.333E8</v>
      </c>
      <c r="AJ255" s="97" t="str">
        <f t="shared" si="129"/>
        <v>$500M-$1B</v>
      </c>
      <c r="AK255" s="167">
        <v>0.04</v>
      </c>
      <c r="AL255" s="88" t="str">
        <f t="shared" si="130"/>
        <v>0%-10%</v>
      </c>
      <c r="AM255" s="15">
        <v>12.0</v>
      </c>
      <c r="AN255" s="15" t="s">
        <v>39</v>
      </c>
      <c r="AO255" s="15" t="s">
        <v>89</v>
      </c>
      <c r="AP255" s="15" t="s">
        <v>90</v>
      </c>
      <c r="AQ255" s="168"/>
      <c r="AR255" s="168"/>
      <c r="AS255" s="15" t="s">
        <v>493</v>
      </c>
      <c r="AT255" s="15" t="s">
        <v>469</v>
      </c>
      <c r="AU255" s="15" t="s">
        <v>493</v>
      </c>
      <c r="AV255" s="15" t="s">
        <v>493</v>
      </c>
      <c r="AW255" s="69">
        <v>326909.0</v>
      </c>
      <c r="AX255" s="96" t="str">
        <f t="shared" si="131"/>
        <v>$100K - $500K</v>
      </c>
      <c r="AY255" s="69">
        <v>474.0</v>
      </c>
      <c r="AZ255" s="69">
        <v>25000.0</v>
      </c>
      <c r="BA255" s="103" t="str">
        <f t="shared" si="132"/>
        <v>$10K - $50K</v>
      </c>
      <c r="BB255" s="103">
        <f t="shared" si="133"/>
        <v>0.01896</v>
      </c>
      <c r="BC255" s="103" t="str">
        <f t="shared" si="134"/>
        <v>&lt; 10%</v>
      </c>
      <c r="BD255" s="15" t="s">
        <v>124</v>
      </c>
      <c r="BF255" s="15" t="s">
        <v>469</v>
      </c>
      <c r="BG255" s="15">
        <v>0.0</v>
      </c>
      <c r="BH255" s="15">
        <v>3.0</v>
      </c>
      <c r="BI255" s="15" t="s">
        <v>493</v>
      </c>
      <c r="BJ255" s="15" t="s">
        <v>493</v>
      </c>
      <c r="BK255" s="15" t="s">
        <v>493</v>
      </c>
      <c r="BL255" s="15" t="s">
        <v>469</v>
      </c>
      <c r="BM255" s="15">
        <v>8.0</v>
      </c>
      <c r="BN255" s="15">
        <v>7.0</v>
      </c>
      <c r="BO255" s="15">
        <v>0.0</v>
      </c>
      <c r="BP255" s="15">
        <v>0.0</v>
      </c>
      <c r="BQ255" s="108"/>
      <c r="BR255" s="15">
        <v>2.0</v>
      </c>
      <c r="BS255" s="15">
        <v>1.0</v>
      </c>
      <c r="BT255" s="15">
        <v>1.0</v>
      </c>
      <c r="BU255" s="15">
        <v>31.0</v>
      </c>
      <c r="BV255" s="15" t="s">
        <v>493</v>
      </c>
      <c r="BW255" s="108"/>
      <c r="BX255" s="15">
        <v>18.0</v>
      </c>
      <c r="BY255" s="15">
        <v>2.0</v>
      </c>
      <c r="BZ255" s="15">
        <v>1.0</v>
      </c>
      <c r="CA255" s="15">
        <v>53.0</v>
      </c>
      <c r="CB255" s="15" t="s">
        <v>493</v>
      </c>
      <c r="CC255" s="108"/>
      <c r="CD255" s="15">
        <v>13.0</v>
      </c>
      <c r="CE255" s="15">
        <v>0.0</v>
      </c>
      <c r="CF255" s="15">
        <v>0.0</v>
      </c>
      <c r="CG255" s="15">
        <v>45.0</v>
      </c>
      <c r="CH255" s="15" t="s">
        <v>493</v>
      </c>
      <c r="CI255" s="108"/>
      <c r="CO255" s="108"/>
      <c r="CU255" s="108"/>
      <c r="DA255" s="108"/>
      <c r="DG255" s="108"/>
      <c r="DM255" s="108"/>
      <c r="DS255" s="108"/>
      <c r="DT255" s="108"/>
      <c r="DU255" s="108"/>
      <c r="DW255" s="109"/>
      <c r="DX255" s="110">
        <f t="shared" si="13"/>
        <v>11</v>
      </c>
      <c r="DY255" s="111">
        <f t="shared" ref="DY255:DZ255" si="569">sum(BS255,BY255,CE255,CK255,CQ255,CW255,DC255,DI255,DO255)</f>
        <v>3</v>
      </c>
      <c r="DZ255" s="111">
        <f t="shared" si="569"/>
        <v>2</v>
      </c>
      <c r="EA255" s="110">
        <f t="shared" si="15"/>
        <v>43</v>
      </c>
      <c r="EB255" s="99" t="str">
        <f t="shared" si="16"/>
        <v>35 - 54</v>
      </c>
      <c r="EC255" s="112"/>
      <c r="ED255" s="113">
        <f t="shared" si="17"/>
        <v>4</v>
      </c>
      <c r="EE255" s="114">
        <f>IF(V255 &lt;&gt; "", 1+((V255-MIN(discount_rates))*(4)/(MAX(discount_rates) - MIN(discount_rates))), "")</f>
        <v>1</v>
      </c>
      <c r="EF255" s="114" t="str">
        <f>IF(Q255="Debt", (1+((S255-MIN(interest_rates))*(4)/(MAX(interest_rates) - MIN(interest_rates)))), "")</f>
        <v/>
      </c>
      <c r="EG255" s="114" t="str">
        <f>IF(OR(Q255="Revenue Share", Q255="Profit Share"), (1+((R255-MIN(return_mutiples))*(4)/(MAX(return_mutiples) - MIN(return_mutiples)))), "")</f>
        <v/>
      </c>
      <c r="EH255" s="115">
        <f t="shared" si="18"/>
        <v>4</v>
      </c>
      <c r="EI255" s="116" t="str">
        <f t="shared" si="19"/>
        <v>SAFE</v>
      </c>
      <c r="EJ255" s="117">
        <f t="shared" si="20"/>
        <v>0.3561643836</v>
      </c>
      <c r="EK255" s="116" t="str">
        <f t="shared" si="21"/>
        <v>Growth</v>
      </c>
      <c r="EL255" s="112"/>
      <c r="EM255" s="118">
        <f t="shared" si="22"/>
        <v>2.4</v>
      </c>
      <c r="EN255" s="118">
        <f t="shared" si="23"/>
        <v>1.7</v>
      </c>
      <c r="EO255" s="119">
        <f t="shared" si="24"/>
        <v>4.1</v>
      </c>
      <c r="EP255" s="115">
        <f>1+((EO255-MIN(market_ratings_sums))*(4)/(MAX(market_ratings_sums) - MIN(market_ratings_sums)))</f>
        <v>1.98245614</v>
      </c>
      <c r="EQ255" s="116" t="str">
        <f t="shared" si="25"/>
        <v>Yes</v>
      </c>
      <c r="ER255" s="112"/>
      <c r="ES255" s="123">
        <f>1+((DX255-MIN(industry_experiences))*(4)/(MAX(industry_experiences) - MIN(industry_experiences)))</f>
        <v>2.047619048</v>
      </c>
      <c r="ET255" s="123">
        <f>1+((DY255-MIN(previous_startups))*(4)/(MAX(previous_startups) - MIN(previous_startups)))</f>
        <v>2.333333333</v>
      </c>
      <c r="EU255" s="123">
        <f>1+((DZ255-MIN(exits))*(4)/(MAX(exits) - MIN(exits)))</f>
        <v>3</v>
      </c>
      <c r="EV255" s="119">
        <f t="shared" si="26"/>
        <v>7.380952381</v>
      </c>
      <c r="EW255" s="124">
        <f>1+((EV255-MIN(team_ratings_sums))*(4)/(MAX(team_ratings_sums) - MIN(team_ratings_sums)))</f>
        <v>3.4</v>
      </c>
      <c r="EX255" s="116" t="str">
        <f t="shared" si="27"/>
        <v>35 - 54</v>
      </c>
      <c r="EY255" s="125">
        <f t="shared" si="28"/>
        <v>0.6849315068</v>
      </c>
      <c r="EZ255" s="116">
        <f t="shared" si="29"/>
        <v>3</v>
      </c>
      <c r="FA255" s="125">
        <f t="shared" si="30"/>
        <v>0.05479452055</v>
      </c>
      <c r="FB255" s="116">
        <f t="shared" si="31"/>
        <v>7</v>
      </c>
      <c r="FC255" s="125">
        <f t="shared" si="32"/>
        <v>0.04109589041</v>
      </c>
      <c r="FD255" s="116" t="str">
        <f t="shared" si="33"/>
        <v>Yes</v>
      </c>
      <c r="FE255" s="125">
        <f t="shared" si="34"/>
        <v>0.2465753425</v>
      </c>
      <c r="FF255" s="116" t="str">
        <f t="shared" ref="FF255:FH255" si="570">BJ255</f>
        <v>Yes</v>
      </c>
      <c r="FG255" s="116" t="str">
        <f t="shared" si="570"/>
        <v>Yes</v>
      </c>
      <c r="FH255" s="116" t="str">
        <f t="shared" si="570"/>
        <v>No</v>
      </c>
      <c r="FI255" s="112"/>
      <c r="FJ255" s="116" t="str">
        <f t="shared" si="36"/>
        <v>Recurring</v>
      </c>
      <c r="FK255" s="125">
        <f t="shared" si="37"/>
        <v>0.397260274</v>
      </c>
      <c r="FL255" s="116" t="str">
        <f t="shared" si="38"/>
        <v>B2B/B2C</v>
      </c>
      <c r="FM255" s="125">
        <f t="shared" si="39"/>
        <v>0.3287671233</v>
      </c>
      <c r="FN255" s="116" t="str">
        <f t="shared" si="40"/>
        <v>High</v>
      </c>
      <c r="FO255" s="125">
        <f t="shared" si="41"/>
        <v>0.5616438356</v>
      </c>
      <c r="FP255" s="116" t="str">
        <f t="shared" si="42"/>
        <v>Low</v>
      </c>
      <c r="FQ255" s="125">
        <f t="shared" si="43"/>
        <v>0.3561643836</v>
      </c>
      <c r="FR255" s="112"/>
      <c r="FS255" s="123">
        <f t="shared" si="44"/>
        <v>5</v>
      </c>
      <c r="FT255" s="123">
        <f t="shared" si="45"/>
        <v>2.3</v>
      </c>
      <c r="FU255" s="123">
        <f t="shared" si="46"/>
        <v>5</v>
      </c>
      <c r="FV255" s="123">
        <f t="shared" si="47"/>
        <v>4.6</v>
      </c>
      <c r="FW255" s="119">
        <f t="shared" si="48"/>
        <v>16.9</v>
      </c>
      <c r="FX255" s="115">
        <f>1+((FW255-MIN(performance_ratings_sums))*(4)/(MAX(performance_ratings_sums) - MIN(performance_ratings_sums)))</f>
        <v>4.813084112</v>
      </c>
      <c r="FY255" s="116" t="str">
        <f t="shared" si="49"/>
        <v>Profitable</v>
      </c>
      <c r="FZ255" s="126">
        <f t="shared" si="50"/>
        <v>0.06849315068</v>
      </c>
      <c r="GA255" s="112"/>
      <c r="GB255" s="127">
        <f t="shared" si="51"/>
        <v>3</v>
      </c>
      <c r="GC255" s="116" t="str">
        <f t="shared" si="52"/>
        <v>No</v>
      </c>
      <c r="GD255" s="126">
        <f t="shared" si="53"/>
        <v>0.7671232877</v>
      </c>
      <c r="GE255" s="126" t="str">
        <f t="shared" si="54"/>
        <v/>
      </c>
      <c r="GF255" s="126">
        <f t="shared" si="55"/>
        <v>0</v>
      </c>
      <c r="GG255" s="126" t="str">
        <f t="shared" si="56"/>
        <v/>
      </c>
      <c r="GH255" s="126">
        <f t="shared" si="57"/>
        <v>0</v>
      </c>
      <c r="GI255" s="112"/>
      <c r="GJ255" s="116"/>
      <c r="GK255" s="119">
        <f t="shared" si="58"/>
        <v>17.19554025</v>
      </c>
      <c r="GL255" s="128">
        <f>1+((GK255-MIN(ratings_sums))*(4)/(MAX(ratings_sums) - MIN(ratings_sums)))</f>
        <v>4.068875212</v>
      </c>
    </row>
    <row r="256" ht="15.75" customHeight="1">
      <c r="A256" s="161" t="s">
        <v>1128</v>
      </c>
      <c r="B256" s="15">
        <v>1802762.0</v>
      </c>
      <c r="C256" s="162" t="s">
        <v>1621</v>
      </c>
      <c r="D256" s="209">
        <v>43872.55972222222</v>
      </c>
      <c r="E256" s="15" t="s">
        <v>350</v>
      </c>
      <c r="F256" s="164" t="s">
        <v>1622</v>
      </c>
      <c r="G256" s="164" t="s">
        <v>1623</v>
      </c>
      <c r="H256" s="173">
        <v>43871.0</v>
      </c>
      <c r="I256" s="162" t="s">
        <v>1624</v>
      </c>
      <c r="J256" s="162" t="s">
        <v>1621</v>
      </c>
      <c r="K256" s="15" t="s">
        <v>505</v>
      </c>
      <c r="L256" s="15" t="s">
        <v>133</v>
      </c>
      <c r="M256" s="15" t="s">
        <v>31</v>
      </c>
      <c r="N256" s="15" t="s">
        <v>32</v>
      </c>
      <c r="O256" s="15" t="s">
        <v>35</v>
      </c>
      <c r="Q256" s="15" t="s">
        <v>121</v>
      </c>
      <c r="R256" s="166"/>
      <c r="S256" s="120"/>
      <c r="T256" s="69">
        <v>4200000.0</v>
      </c>
      <c r="U256" s="69"/>
      <c r="V256" s="132"/>
      <c r="W256" s="96" t="str">
        <f t="shared" si="125"/>
        <v/>
      </c>
      <c r="X256" s="98">
        <f t="shared" si="126"/>
        <v>4200000</v>
      </c>
      <c r="Y256" s="99" t="str">
        <f t="shared" si="127"/>
        <v>$4M - $6M</v>
      </c>
      <c r="Z256" s="15" t="s">
        <v>86</v>
      </c>
      <c r="AA256" s="15" t="s">
        <v>123</v>
      </c>
      <c r="AB256" s="15" t="s">
        <v>88</v>
      </c>
      <c r="AC256" s="15" t="s">
        <v>493</v>
      </c>
      <c r="AD256" s="15" t="s">
        <v>89</v>
      </c>
      <c r="AE256" s="15" t="s">
        <v>89</v>
      </c>
      <c r="AF256" s="15" t="s">
        <v>469</v>
      </c>
      <c r="AG256" s="69">
        <v>6.93E8</v>
      </c>
      <c r="AH256" s="97" t="str">
        <f t="shared" si="128"/>
        <v>$500M-$1B</v>
      </c>
      <c r="AI256" s="69">
        <v>6.93E8</v>
      </c>
      <c r="AJ256" s="97" t="str">
        <f t="shared" si="129"/>
        <v>$500M-$1B</v>
      </c>
      <c r="AK256" s="167">
        <v>0.45</v>
      </c>
      <c r="AL256" s="88" t="str">
        <f t="shared" si="130"/>
        <v>40%-50%</v>
      </c>
      <c r="AM256" s="32">
        <v>7.0</v>
      </c>
      <c r="AN256" s="15" t="s">
        <v>89</v>
      </c>
      <c r="AO256" s="15" t="s">
        <v>89</v>
      </c>
      <c r="AP256" s="15" t="s">
        <v>40</v>
      </c>
      <c r="AQ256" s="168"/>
      <c r="AR256" s="168"/>
      <c r="AS256" s="15" t="s">
        <v>469</v>
      </c>
      <c r="AT256" s="15" t="s">
        <v>469</v>
      </c>
      <c r="AU256" s="15" t="s">
        <v>469</v>
      </c>
      <c r="AV256" s="15" t="s">
        <v>469</v>
      </c>
      <c r="AW256" s="69">
        <v>0.0</v>
      </c>
      <c r="AX256" s="96" t="str">
        <f t="shared" si="131"/>
        <v>&lt; $10K</v>
      </c>
      <c r="AY256" s="69">
        <v>0.0</v>
      </c>
      <c r="AZ256" s="69">
        <v>0.0</v>
      </c>
      <c r="BA256" s="103" t="str">
        <f t="shared" si="132"/>
        <v>&lt; $10K</v>
      </c>
      <c r="BB256" s="103">
        <f t="shared" si="133"/>
        <v>1</v>
      </c>
      <c r="BC256" s="103" t="str">
        <f t="shared" si="134"/>
        <v>90% - 100%</v>
      </c>
      <c r="BD256" s="15" t="s">
        <v>41</v>
      </c>
      <c r="BF256" s="15" t="s">
        <v>493</v>
      </c>
      <c r="BG256" s="15">
        <v>0.0</v>
      </c>
      <c r="BH256" s="15">
        <v>3.0</v>
      </c>
      <c r="BI256" s="15" t="s">
        <v>493</v>
      </c>
      <c r="BJ256" s="15" t="s">
        <v>469</v>
      </c>
      <c r="BK256" s="15" t="s">
        <v>493</v>
      </c>
      <c r="BL256" s="15" t="s">
        <v>469</v>
      </c>
      <c r="BM256" s="15">
        <v>4.0</v>
      </c>
      <c r="BN256" s="15">
        <v>3.0</v>
      </c>
      <c r="BO256" s="15">
        <v>0.0</v>
      </c>
      <c r="BP256" s="15">
        <v>0.0</v>
      </c>
      <c r="BQ256" s="108"/>
      <c r="BR256" s="15">
        <v>0.0</v>
      </c>
      <c r="BS256" s="15">
        <v>2.0</v>
      </c>
      <c r="BT256" s="15">
        <v>0.0</v>
      </c>
      <c r="BU256" s="15">
        <v>42.0</v>
      </c>
      <c r="BV256" s="15" t="s">
        <v>469</v>
      </c>
      <c r="BW256" s="108"/>
      <c r="BX256" s="15">
        <v>21.0</v>
      </c>
      <c r="BY256" s="15">
        <v>0.0</v>
      </c>
      <c r="BZ256" s="15">
        <v>0.0</v>
      </c>
      <c r="CA256" s="15">
        <v>56.0</v>
      </c>
      <c r="CB256" s="15" t="s">
        <v>469</v>
      </c>
      <c r="CC256" s="108"/>
      <c r="CD256" s="15">
        <v>2.0</v>
      </c>
      <c r="CE256" s="15">
        <v>0.0</v>
      </c>
      <c r="CF256" s="15">
        <v>0.0</v>
      </c>
      <c r="CG256" s="15">
        <v>22.0</v>
      </c>
      <c r="CH256" s="15" t="s">
        <v>493</v>
      </c>
      <c r="CI256" s="108"/>
      <c r="CO256" s="108"/>
      <c r="CU256" s="108"/>
      <c r="DA256" s="108"/>
      <c r="DG256" s="108"/>
      <c r="DM256" s="108"/>
      <c r="DS256" s="108"/>
      <c r="DT256" s="108"/>
      <c r="DU256" s="108"/>
      <c r="DW256" s="109"/>
      <c r="DX256" s="110">
        <f t="shared" si="13"/>
        <v>7.666666667</v>
      </c>
      <c r="DY256" s="111">
        <f t="shared" ref="DY256:DZ256" si="571">sum(BS256,BY256,CE256,CK256,CQ256,CW256,DC256,DI256,DO256)</f>
        <v>2</v>
      </c>
      <c r="DZ256" s="111">
        <f t="shared" si="571"/>
        <v>0</v>
      </c>
      <c r="EA256" s="110">
        <f t="shared" si="15"/>
        <v>40</v>
      </c>
      <c r="EB256" s="99" t="str">
        <f t="shared" si="16"/>
        <v>35 - 54</v>
      </c>
      <c r="EC256" s="112"/>
      <c r="ED256" s="113">
        <f t="shared" si="17"/>
        <v>4.4</v>
      </c>
      <c r="EE256" s="114" t="str">
        <f>IF(V256 &lt;&gt; "", 1+((V256-MIN(discount_rates))*(4)/(MAX(discount_rates) - MIN(discount_rates))), "")</f>
        <v/>
      </c>
      <c r="EF256" s="114" t="str">
        <f>IF(Q256="Debt", (1+((S256-MIN(interest_rates))*(4)/(MAX(interest_rates) - MIN(interest_rates)))), "")</f>
        <v/>
      </c>
      <c r="EG256" s="114" t="str">
        <f>IF(OR(Q256="Revenue Share", Q256="Profit Share"), (1+((R256-MIN(return_mutiples))*(4)/(MAX(return_mutiples) - MIN(return_mutiples)))), "")</f>
        <v/>
      </c>
      <c r="EH256" s="115">
        <f t="shared" si="18"/>
        <v>4.4</v>
      </c>
      <c r="EI256" s="116" t="str">
        <f t="shared" si="19"/>
        <v>Equity - Common</v>
      </c>
      <c r="EJ256" s="117">
        <f t="shared" si="20"/>
        <v>0.3287671233</v>
      </c>
      <c r="EK256" s="116" t="str">
        <f t="shared" si="21"/>
        <v>Early</v>
      </c>
      <c r="EL256" s="112"/>
      <c r="EM256" s="118">
        <f t="shared" si="22"/>
        <v>2.4</v>
      </c>
      <c r="EN256" s="118">
        <f t="shared" si="23"/>
        <v>4.3</v>
      </c>
      <c r="EO256" s="119">
        <f t="shared" si="24"/>
        <v>6.7</v>
      </c>
      <c r="EP256" s="115">
        <f>1+((EO256-MIN(market_ratings_sums))*(4)/(MAX(market_ratings_sums) - MIN(market_ratings_sums)))</f>
        <v>3.807017544</v>
      </c>
      <c r="EQ256" s="116" t="str">
        <f t="shared" si="25"/>
        <v>No</v>
      </c>
      <c r="ER256" s="112"/>
      <c r="ES256" s="123">
        <f>1+((DX256-MIN(industry_experiences))*(4)/(MAX(industry_experiences) - MIN(industry_experiences)))</f>
        <v>1.73015873</v>
      </c>
      <c r="ET256" s="123">
        <f>1+((DY256-MIN(previous_startups))*(4)/(MAX(previous_startups) - MIN(previous_startups)))</f>
        <v>1.888888889</v>
      </c>
      <c r="EU256" s="123">
        <f>1+((DZ256-MIN(exits))*(4)/(MAX(exits) - MIN(exits)))</f>
        <v>1</v>
      </c>
      <c r="EV256" s="119">
        <f t="shared" si="26"/>
        <v>4.619047619</v>
      </c>
      <c r="EW256" s="124">
        <f>1+((EV256-MIN(team_ratings_sums))*(4)/(MAX(team_ratings_sums) - MIN(team_ratings_sums)))</f>
        <v>1.886956522</v>
      </c>
      <c r="EX256" s="116" t="str">
        <f t="shared" si="27"/>
        <v>35 - 54</v>
      </c>
      <c r="EY256" s="125">
        <f t="shared" si="28"/>
        <v>0.6849315068</v>
      </c>
      <c r="EZ256" s="116">
        <f t="shared" si="29"/>
        <v>3</v>
      </c>
      <c r="FA256" s="125">
        <f t="shared" si="30"/>
        <v>0.05479452055</v>
      </c>
      <c r="FB256" s="116">
        <f t="shared" si="31"/>
        <v>3</v>
      </c>
      <c r="FC256" s="125">
        <f t="shared" si="32"/>
        <v>0.08219178082</v>
      </c>
      <c r="FD256" s="116" t="str">
        <f t="shared" si="33"/>
        <v>Yes</v>
      </c>
      <c r="FE256" s="125">
        <f t="shared" si="34"/>
        <v>0.2465753425</v>
      </c>
      <c r="FF256" s="116" t="str">
        <f t="shared" ref="FF256:FH256" si="572">BJ256</f>
        <v>No</v>
      </c>
      <c r="FG256" s="116" t="str">
        <f t="shared" si="572"/>
        <v>Yes</v>
      </c>
      <c r="FH256" s="116" t="str">
        <f t="shared" si="572"/>
        <v>No</v>
      </c>
      <c r="FI256" s="112"/>
      <c r="FJ256" s="116" t="str">
        <f t="shared" si="36"/>
        <v>Recurring</v>
      </c>
      <c r="FK256" s="125">
        <f t="shared" si="37"/>
        <v>0.397260274</v>
      </c>
      <c r="FL256" s="116" t="str">
        <f t="shared" si="38"/>
        <v>B2B/B2C</v>
      </c>
      <c r="FM256" s="125">
        <f t="shared" si="39"/>
        <v>0.3287671233</v>
      </c>
      <c r="FN256" s="116" t="str">
        <f t="shared" si="40"/>
        <v>Low</v>
      </c>
      <c r="FO256" s="125">
        <f t="shared" si="41"/>
        <v>0.4383561644</v>
      </c>
      <c r="FP256" s="116" t="str">
        <f t="shared" si="42"/>
        <v>Low</v>
      </c>
      <c r="FQ256" s="125">
        <f t="shared" si="43"/>
        <v>0.3561643836</v>
      </c>
      <c r="FR256" s="112"/>
      <c r="FS256" s="123">
        <f t="shared" si="44"/>
        <v>1</v>
      </c>
      <c r="FT256" s="123">
        <f t="shared" si="45"/>
        <v>1</v>
      </c>
      <c r="FU256" s="123">
        <f t="shared" si="46"/>
        <v>1</v>
      </c>
      <c r="FV256" s="123">
        <f t="shared" si="47"/>
        <v>5</v>
      </c>
      <c r="FW256" s="119">
        <f t="shared" si="48"/>
        <v>8</v>
      </c>
      <c r="FX256" s="115">
        <f>1+((FW256-MIN(performance_ratings_sums))*(4)/(MAX(performance_ratings_sums) - MIN(performance_ratings_sums)))</f>
        <v>1.485981308</v>
      </c>
      <c r="FY256" s="116" t="str">
        <f t="shared" si="49"/>
        <v>Pre-Product</v>
      </c>
      <c r="FZ256" s="126">
        <f t="shared" si="50"/>
        <v>0.2328767123</v>
      </c>
      <c r="GA256" s="112"/>
      <c r="GB256" s="127">
        <f t="shared" si="51"/>
        <v>1</v>
      </c>
      <c r="GC256" s="116" t="str">
        <f t="shared" si="52"/>
        <v>No</v>
      </c>
      <c r="GD256" s="126">
        <f t="shared" si="53"/>
        <v>0.7671232877</v>
      </c>
      <c r="GE256" s="126" t="str">
        <f t="shared" si="54"/>
        <v/>
      </c>
      <c r="GF256" s="126">
        <f t="shared" si="55"/>
        <v>0</v>
      </c>
      <c r="GG256" s="126" t="str">
        <f t="shared" si="56"/>
        <v/>
      </c>
      <c r="GH256" s="126">
        <f t="shared" si="57"/>
        <v>0</v>
      </c>
      <c r="GI256" s="112"/>
      <c r="GJ256" s="116"/>
      <c r="GK256" s="119">
        <f t="shared" si="58"/>
        <v>12.57995537</v>
      </c>
      <c r="GL256" s="128">
        <f>1+((GK256-MIN(ratings_sums))*(4)/(MAX(ratings_sums) - MIN(ratings_sums)))</f>
        <v>2.652629298</v>
      </c>
    </row>
    <row r="257" ht="15.75" customHeight="1">
      <c r="A257" s="161" t="s">
        <v>1128</v>
      </c>
      <c r="B257" s="15">
        <v>1585681.0</v>
      </c>
      <c r="C257" s="162" t="s">
        <v>1625</v>
      </c>
      <c r="D257" s="209">
        <v>43874.495833333334</v>
      </c>
      <c r="E257" s="15" t="s">
        <v>381</v>
      </c>
      <c r="F257" s="164" t="s">
        <v>1626</v>
      </c>
      <c r="G257" s="164" t="s">
        <v>1627</v>
      </c>
      <c r="H257" s="210">
        <v>43873.0</v>
      </c>
      <c r="I257" s="162" t="s">
        <v>1628</v>
      </c>
      <c r="J257" s="162" t="s">
        <v>1629</v>
      </c>
      <c r="K257" s="15" t="s">
        <v>422</v>
      </c>
      <c r="L257" s="15" t="s">
        <v>390</v>
      </c>
      <c r="M257" s="15" t="s">
        <v>81</v>
      </c>
      <c r="N257" s="15" t="s">
        <v>119</v>
      </c>
      <c r="O257" s="15" t="s">
        <v>35</v>
      </c>
      <c r="Q257" s="15" t="s">
        <v>135</v>
      </c>
      <c r="R257" s="166"/>
      <c r="S257" s="120"/>
      <c r="T257" s="69">
        <v>5436506.0</v>
      </c>
      <c r="U257" s="69"/>
      <c r="V257" s="132"/>
      <c r="W257" s="96" t="str">
        <f t="shared" si="125"/>
        <v/>
      </c>
      <c r="X257" s="98">
        <f t="shared" si="126"/>
        <v>5436506</v>
      </c>
      <c r="Y257" s="99" t="str">
        <f t="shared" si="127"/>
        <v>$4M - $6M</v>
      </c>
      <c r="Z257" s="15" t="s">
        <v>36</v>
      </c>
      <c r="AA257" s="15" t="s">
        <v>123</v>
      </c>
      <c r="AB257" s="15" t="s">
        <v>38</v>
      </c>
      <c r="AC257" s="15" t="s">
        <v>493</v>
      </c>
      <c r="AD257" s="15" t="s">
        <v>89</v>
      </c>
      <c r="AE257" s="15" t="s">
        <v>89</v>
      </c>
      <c r="AF257" s="15" t="s">
        <v>469</v>
      </c>
      <c r="AG257" s="69">
        <v>1.2375E11</v>
      </c>
      <c r="AH257" s="97" t="str">
        <f t="shared" si="128"/>
        <v>$100B-$250B</v>
      </c>
      <c r="AI257" s="69">
        <v>2.091E10</v>
      </c>
      <c r="AJ257" s="97" t="str">
        <f t="shared" si="129"/>
        <v>$10B-$25B</v>
      </c>
      <c r="AK257" s="167">
        <v>-0.04</v>
      </c>
      <c r="AL257" s="88" t="str">
        <f t="shared" si="130"/>
        <v>&lt; 0% (Shrinking Market)</v>
      </c>
      <c r="AM257" s="32">
        <v>25.0</v>
      </c>
      <c r="AN257" s="15" t="s">
        <v>89</v>
      </c>
      <c r="AO257" s="15" t="s">
        <v>89</v>
      </c>
      <c r="AP257" s="15" t="s">
        <v>40</v>
      </c>
      <c r="AQ257" s="168"/>
      <c r="AR257" s="168"/>
      <c r="AS257" s="15" t="s">
        <v>469</v>
      </c>
      <c r="AT257" s="15" t="s">
        <v>493</v>
      </c>
      <c r="AU257" s="15" t="s">
        <v>493</v>
      </c>
      <c r="AV257" s="15" t="s">
        <v>493</v>
      </c>
      <c r="AW257" s="69">
        <v>1580699.0</v>
      </c>
      <c r="AX257" s="96" t="str">
        <f t="shared" si="131"/>
        <v>$1M - $2M</v>
      </c>
      <c r="AY257" s="69">
        <v>114224.0</v>
      </c>
      <c r="AZ257" s="69">
        <v>4154770.0</v>
      </c>
      <c r="BA257" s="103" t="str">
        <f t="shared" si="132"/>
        <v>$4M - $5M</v>
      </c>
      <c r="BB257" s="103">
        <f t="shared" si="133"/>
        <v>0.02749225589</v>
      </c>
      <c r="BC257" s="103" t="str">
        <f t="shared" si="134"/>
        <v>&lt; 10%</v>
      </c>
      <c r="BD257" s="15" t="s">
        <v>107</v>
      </c>
      <c r="BF257" s="15" t="s">
        <v>493</v>
      </c>
      <c r="BG257" s="15">
        <v>0.0</v>
      </c>
      <c r="BH257" s="15">
        <v>1.0</v>
      </c>
      <c r="BI257" s="15" t="s">
        <v>493</v>
      </c>
      <c r="BJ257" s="15" t="s">
        <v>469</v>
      </c>
      <c r="BK257" s="15" t="s">
        <v>469</v>
      </c>
      <c r="BL257" s="15" t="s">
        <v>469</v>
      </c>
      <c r="BM257" s="15">
        <v>1.0</v>
      </c>
      <c r="BN257" s="15">
        <v>5.0</v>
      </c>
      <c r="BO257" s="15">
        <v>0.0</v>
      </c>
      <c r="BP257" s="15">
        <v>0.0</v>
      </c>
      <c r="BQ257" s="108"/>
      <c r="BR257" s="15">
        <v>31.0</v>
      </c>
      <c r="BS257" s="15">
        <v>3.0</v>
      </c>
      <c r="BT257" s="15">
        <v>1.0</v>
      </c>
      <c r="BU257" s="15">
        <v>42.0</v>
      </c>
      <c r="BV257" s="15" t="s">
        <v>493</v>
      </c>
      <c r="BW257" s="108"/>
      <c r="CC257" s="108"/>
      <c r="CI257" s="108"/>
      <c r="CO257" s="108"/>
      <c r="CU257" s="108"/>
      <c r="DA257" s="108"/>
      <c r="DG257" s="108"/>
      <c r="DM257" s="108"/>
      <c r="DS257" s="108"/>
      <c r="DT257" s="108"/>
      <c r="DU257" s="108"/>
      <c r="DW257" s="109"/>
      <c r="DX257" s="110">
        <f t="shared" si="13"/>
        <v>31</v>
      </c>
      <c r="DY257" s="111">
        <f t="shared" ref="DY257:DZ257" si="573">sum(BS257,BY257,CE257,CK257,CQ257,CW257,DC257,DI257,DO257)</f>
        <v>3</v>
      </c>
      <c r="DZ257" s="111">
        <f t="shared" si="573"/>
        <v>1</v>
      </c>
      <c r="EA257" s="110">
        <f t="shared" si="15"/>
        <v>42</v>
      </c>
      <c r="EB257" s="99" t="str">
        <f t="shared" si="16"/>
        <v>35 - 54</v>
      </c>
      <c r="EC257" s="112"/>
      <c r="ED257" s="113">
        <f t="shared" si="17"/>
        <v>4.4</v>
      </c>
      <c r="EE257" s="114" t="str">
        <f>IF(V257 &lt;&gt; "", 1+((V257-MIN(discount_rates))*(4)/(MAX(discount_rates) - MIN(discount_rates))), "")</f>
        <v/>
      </c>
      <c r="EF257" s="114" t="str">
        <f>IF(Q257="Debt", (1+((S257-MIN(interest_rates))*(4)/(MAX(interest_rates) - MIN(interest_rates)))), "")</f>
        <v/>
      </c>
      <c r="EG257" s="114" t="str">
        <f>IF(OR(Q257="Revenue Share", Q257="Profit Share"), (1+((R257-MIN(return_mutiples))*(4)/(MAX(return_mutiples) - MIN(return_mutiples)))), "")</f>
        <v/>
      </c>
      <c r="EH257" s="115">
        <f t="shared" si="18"/>
        <v>4.4</v>
      </c>
      <c r="EI257" s="116" t="str">
        <f t="shared" si="19"/>
        <v>Equity - Preferred</v>
      </c>
      <c r="EJ257" s="117">
        <f t="shared" si="20"/>
        <v>0.06849315068</v>
      </c>
      <c r="EK257" s="116" t="str">
        <f t="shared" si="21"/>
        <v>Growth</v>
      </c>
      <c r="EL257" s="112"/>
      <c r="EM257" s="118">
        <f t="shared" si="22"/>
        <v>3.3</v>
      </c>
      <c r="EN257" s="118">
        <f t="shared" si="23"/>
        <v>1</v>
      </c>
      <c r="EO257" s="119">
        <f t="shared" si="24"/>
        <v>4.3</v>
      </c>
      <c r="EP257" s="115">
        <f>1+((EO257-MIN(market_ratings_sums))*(4)/(MAX(market_ratings_sums) - MIN(market_ratings_sums)))</f>
        <v>2.122807018</v>
      </c>
      <c r="EQ257" s="116" t="str">
        <f t="shared" si="25"/>
        <v>No</v>
      </c>
      <c r="ER257" s="112"/>
      <c r="ES257" s="123">
        <f>1+((DX257-MIN(industry_experiences))*(4)/(MAX(industry_experiences) - MIN(industry_experiences)))</f>
        <v>3.952380952</v>
      </c>
      <c r="ET257" s="123">
        <f>1+((DY257-MIN(previous_startups))*(4)/(MAX(previous_startups) - MIN(previous_startups)))</f>
        <v>2.333333333</v>
      </c>
      <c r="EU257" s="123">
        <f>1+((DZ257-MIN(exits))*(4)/(MAX(exits) - MIN(exits)))</f>
        <v>2</v>
      </c>
      <c r="EV257" s="119">
        <f t="shared" si="26"/>
        <v>8.285714286</v>
      </c>
      <c r="EW257" s="124">
        <f>1+((EV257-MIN(team_ratings_sums))*(4)/(MAX(team_ratings_sums) - MIN(team_ratings_sums)))</f>
        <v>3.895652174</v>
      </c>
      <c r="EX257" s="116" t="str">
        <f t="shared" si="27"/>
        <v>35 - 54</v>
      </c>
      <c r="EY257" s="125">
        <f t="shared" si="28"/>
        <v>0.6849315068</v>
      </c>
      <c r="EZ257" s="116">
        <f t="shared" si="29"/>
        <v>1</v>
      </c>
      <c r="FA257" s="125">
        <f t="shared" si="30"/>
        <v>0.4383561644</v>
      </c>
      <c r="FB257" s="116">
        <f t="shared" si="31"/>
        <v>5</v>
      </c>
      <c r="FC257" s="125">
        <f t="shared" si="32"/>
        <v>0.1369863014</v>
      </c>
      <c r="FD257" s="116" t="str">
        <f t="shared" si="33"/>
        <v>Yes</v>
      </c>
      <c r="FE257" s="125">
        <f t="shared" si="34"/>
        <v>0.2465753425</v>
      </c>
      <c r="FF257" s="116" t="str">
        <f t="shared" ref="FF257:FH257" si="574">BJ257</f>
        <v>No</v>
      </c>
      <c r="FG257" s="116" t="str">
        <f t="shared" si="574"/>
        <v>No</v>
      </c>
      <c r="FH257" s="116" t="str">
        <f t="shared" si="574"/>
        <v>No</v>
      </c>
      <c r="FI257" s="112"/>
      <c r="FJ257" s="116" t="str">
        <f t="shared" si="36"/>
        <v>Transactional</v>
      </c>
      <c r="FK257" s="125">
        <f t="shared" si="37"/>
        <v>0.602739726</v>
      </c>
      <c r="FL257" s="116" t="str">
        <f t="shared" si="38"/>
        <v>B2B/B2C</v>
      </c>
      <c r="FM257" s="125">
        <f t="shared" si="39"/>
        <v>0.3287671233</v>
      </c>
      <c r="FN257" s="116" t="str">
        <f t="shared" si="40"/>
        <v>Low</v>
      </c>
      <c r="FO257" s="125">
        <f t="shared" si="41"/>
        <v>0.4383561644</v>
      </c>
      <c r="FP257" s="116" t="str">
        <f t="shared" si="42"/>
        <v>Low</v>
      </c>
      <c r="FQ257" s="125">
        <f t="shared" si="43"/>
        <v>0.3561643836</v>
      </c>
      <c r="FR257" s="112"/>
      <c r="FS257" s="123">
        <f t="shared" si="44"/>
        <v>5</v>
      </c>
      <c r="FT257" s="123">
        <f t="shared" si="45"/>
        <v>3.2</v>
      </c>
      <c r="FU257" s="123">
        <f t="shared" si="46"/>
        <v>5</v>
      </c>
      <c r="FV257" s="123">
        <f t="shared" si="47"/>
        <v>1.4</v>
      </c>
      <c r="FW257" s="119">
        <f t="shared" si="48"/>
        <v>14.6</v>
      </c>
      <c r="FX257" s="115">
        <f>1+((FW257-MIN(performance_ratings_sums))*(4)/(MAX(performance_ratings_sums) - MIN(performance_ratings_sums)))</f>
        <v>3.953271028</v>
      </c>
      <c r="FY257" s="116" t="str">
        <f t="shared" si="49"/>
        <v>Pre-Profit</v>
      </c>
      <c r="FZ257" s="126">
        <f t="shared" si="50"/>
        <v>0.4931506849</v>
      </c>
      <c r="GA257" s="112"/>
      <c r="GB257" s="127">
        <f t="shared" si="51"/>
        <v>1</v>
      </c>
      <c r="GC257" s="116" t="str">
        <f t="shared" si="52"/>
        <v>Yes</v>
      </c>
      <c r="GD257" s="126">
        <f t="shared" si="53"/>
        <v>0.2328767123</v>
      </c>
      <c r="GE257" s="126" t="str">
        <f t="shared" si="54"/>
        <v/>
      </c>
      <c r="GF257" s="126">
        <f t="shared" si="55"/>
        <v>0</v>
      </c>
      <c r="GG257" s="126" t="str">
        <f t="shared" si="56"/>
        <v/>
      </c>
      <c r="GH257" s="126">
        <f t="shared" si="57"/>
        <v>0</v>
      </c>
      <c r="GI257" s="112"/>
      <c r="GJ257" s="116"/>
      <c r="GK257" s="119">
        <f t="shared" si="58"/>
        <v>15.37173022</v>
      </c>
      <c r="GL257" s="128">
        <f>1+((GK257-MIN(ratings_sums))*(4)/(MAX(ratings_sums) - MIN(ratings_sums)))</f>
        <v>3.509257401</v>
      </c>
    </row>
    <row r="258" ht="15.75" customHeight="1">
      <c r="A258" s="161" t="s">
        <v>1128</v>
      </c>
      <c r="B258" s="15">
        <v>1800755.0</v>
      </c>
      <c r="C258" s="162" t="s">
        <v>1630</v>
      </c>
      <c r="D258" s="209">
        <v>43874.49722222222</v>
      </c>
      <c r="E258" s="15" t="s">
        <v>381</v>
      </c>
      <c r="F258" s="164" t="s">
        <v>1631</v>
      </c>
      <c r="G258" s="164" t="s">
        <v>1632</v>
      </c>
      <c r="H258" s="210">
        <v>43873.0</v>
      </c>
      <c r="I258" s="162" t="s">
        <v>1630</v>
      </c>
      <c r="J258" s="162" t="s">
        <v>1633</v>
      </c>
      <c r="K258" s="15" t="s">
        <v>449</v>
      </c>
      <c r="L258" s="15" t="s">
        <v>264</v>
      </c>
      <c r="M258" s="15" t="s">
        <v>81</v>
      </c>
      <c r="N258" s="15" t="s">
        <v>82</v>
      </c>
      <c r="O258" s="15" t="s">
        <v>35</v>
      </c>
      <c r="Q258" s="15" t="s">
        <v>121</v>
      </c>
      <c r="R258" s="166"/>
      <c r="S258" s="120"/>
      <c r="T258" s="69">
        <v>6000000.0</v>
      </c>
      <c r="U258" s="69"/>
      <c r="V258" s="132"/>
      <c r="W258" s="96" t="str">
        <f t="shared" si="125"/>
        <v/>
      </c>
      <c r="X258" s="98">
        <f t="shared" si="126"/>
        <v>6000000</v>
      </c>
      <c r="Y258" s="99" t="str">
        <f t="shared" si="127"/>
        <v>$4M - $6M</v>
      </c>
      <c r="Z258" s="15" t="s">
        <v>36</v>
      </c>
      <c r="AA258" s="15" t="s">
        <v>123</v>
      </c>
      <c r="AB258" s="15" t="s">
        <v>38</v>
      </c>
      <c r="AC258" s="15" t="s">
        <v>493</v>
      </c>
      <c r="AD258" s="15" t="s">
        <v>89</v>
      </c>
      <c r="AE258" s="15" t="s">
        <v>89</v>
      </c>
      <c r="AF258" s="15" t="s">
        <v>469</v>
      </c>
      <c r="AG258" s="69">
        <v>4.646E10</v>
      </c>
      <c r="AH258" s="97" t="str">
        <f t="shared" si="128"/>
        <v>$25B-$50B</v>
      </c>
      <c r="AI258" s="69">
        <v>4.646E10</v>
      </c>
      <c r="AJ258" s="97" t="str">
        <f t="shared" si="129"/>
        <v>$25B-$50B</v>
      </c>
      <c r="AK258" s="167">
        <v>0.08</v>
      </c>
      <c r="AL258" s="88" t="str">
        <f t="shared" si="130"/>
        <v>0%-10%</v>
      </c>
      <c r="AM258" s="32">
        <v>251.0</v>
      </c>
      <c r="AN258" s="15" t="s">
        <v>39</v>
      </c>
      <c r="AO258" s="15" t="s">
        <v>89</v>
      </c>
      <c r="AP258" s="15" t="s">
        <v>40</v>
      </c>
      <c r="AQ258" s="168"/>
      <c r="AR258" s="168"/>
      <c r="AS258" s="15" t="s">
        <v>469</v>
      </c>
      <c r="AT258" s="15" t="s">
        <v>493</v>
      </c>
      <c r="AU258" s="15" t="s">
        <v>493</v>
      </c>
      <c r="AV258" s="15" t="s">
        <v>493</v>
      </c>
      <c r="AW258" s="69">
        <v>45755.0</v>
      </c>
      <c r="AX258" s="96" t="str">
        <f t="shared" si="131"/>
        <v>$10K - $50K</v>
      </c>
      <c r="AY258" s="69">
        <v>15439.0</v>
      </c>
      <c r="AZ258" s="69">
        <v>215000.0</v>
      </c>
      <c r="BA258" s="103" t="str">
        <f t="shared" si="132"/>
        <v>$100K - $500K</v>
      </c>
      <c r="BB258" s="103">
        <f t="shared" si="133"/>
        <v>0.07180930233</v>
      </c>
      <c r="BC258" s="103" t="str">
        <f t="shared" si="134"/>
        <v>&lt; 10%</v>
      </c>
      <c r="BD258" s="15" t="s">
        <v>107</v>
      </c>
      <c r="BF258" s="15" t="s">
        <v>493</v>
      </c>
      <c r="BG258" s="15">
        <v>0.0</v>
      </c>
      <c r="BH258" s="15">
        <v>2.0</v>
      </c>
      <c r="BI258" s="15" t="s">
        <v>469</v>
      </c>
      <c r="BJ258" s="15" t="s">
        <v>469</v>
      </c>
      <c r="BK258" s="15" t="s">
        <v>469</v>
      </c>
      <c r="BL258" s="15" t="s">
        <v>469</v>
      </c>
      <c r="BM258" s="15">
        <v>2.0</v>
      </c>
      <c r="BN258" s="15">
        <v>3.0</v>
      </c>
      <c r="BO258" s="15">
        <v>2.0</v>
      </c>
      <c r="BP258" s="15">
        <v>0.0</v>
      </c>
      <c r="BQ258" s="108"/>
      <c r="BR258" s="15">
        <v>0.0</v>
      </c>
      <c r="BS258" s="15">
        <v>1.0</v>
      </c>
      <c r="BT258" s="15">
        <v>0.0</v>
      </c>
      <c r="BU258" s="15">
        <v>51.0</v>
      </c>
      <c r="BV258" s="15" t="s">
        <v>469</v>
      </c>
      <c r="BW258" s="108"/>
      <c r="BX258" s="15">
        <v>0.0</v>
      </c>
      <c r="BY258" s="15">
        <v>0.0</v>
      </c>
      <c r="BZ258" s="15">
        <v>0.0</v>
      </c>
      <c r="CB258" s="15" t="s">
        <v>469</v>
      </c>
      <c r="CC258" s="108"/>
      <c r="CI258" s="108"/>
      <c r="CO258" s="108"/>
      <c r="CU258" s="108"/>
      <c r="DA258" s="108"/>
      <c r="DG258" s="108"/>
      <c r="DM258" s="108"/>
      <c r="DS258" s="108"/>
      <c r="DT258" s="108"/>
      <c r="DU258" s="108"/>
      <c r="DW258" s="109"/>
      <c r="DX258" s="110">
        <f t="shared" si="13"/>
        <v>0</v>
      </c>
      <c r="DY258" s="111">
        <f t="shared" ref="DY258:DZ258" si="575">sum(BS258,BY258,CE258,CK258,CQ258,CW258,DC258,DI258,DO258)</f>
        <v>1</v>
      </c>
      <c r="DZ258" s="111">
        <f t="shared" si="575"/>
        <v>0</v>
      </c>
      <c r="EA258" s="110">
        <f t="shared" si="15"/>
        <v>51</v>
      </c>
      <c r="EB258" s="99" t="str">
        <f t="shared" si="16"/>
        <v>35 - 54</v>
      </c>
      <c r="EC258" s="112"/>
      <c r="ED258" s="113">
        <f t="shared" si="17"/>
        <v>4.4</v>
      </c>
      <c r="EE258" s="114" t="str">
        <f>IF(V258 &lt;&gt; "", 1+((V258-MIN(discount_rates))*(4)/(MAX(discount_rates) - MIN(discount_rates))), "")</f>
        <v/>
      </c>
      <c r="EF258" s="114" t="str">
        <f>IF(Q258="Debt", (1+((S258-MIN(interest_rates))*(4)/(MAX(interest_rates) - MIN(interest_rates)))), "")</f>
        <v/>
      </c>
      <c r="EG258" s="114" t="str">
        <f>IF(OR(Q258="Revenue Share", Q258="Profit Share"), (1+((R258-MIN(return_mutiples))*(4)/(MAX(return_mutiples) - MIN(return_mutiples)))), "")</f>
        <v/>
      </c>
      <c r="EH258" s="115">
        <f t="shared" si="18"/>
        <v>4.4</v>
      </c>
      <c r="EI258" s="116" t="str">
        <f t="shared" si="19"/>
        <v>Equity - Common</v>
      </c>
      <c r="EJ258" s="117">
        <f t="shared" si="20"/>
        <v>0.3287671233</v>
      </c>
      <c r="EK258" s="116" t="str">
        <f t="shared" si="21"/>
        <v>Growth</v>
      </c>
      <c r="EL258" s="112"/>
      <c r="EM258" s="118">
        <f t="shared" si="22"/>
        <v>3.6</v>
      </c>
      <c r="EN258" s="118">
        <f t="shared" si="23"/>
        <v>1.7</v>
      </c>
      <c r="EO258" s="119">
        <f t="shared" si="24"/>
        <v>5.3</v>
      </c>
      <c r="EP258" s="115">
        <f>1+((EO258-MIN(market_ratings_sums))*(4)/(MAX(market_ratings_sums) - MIN(market_ratings_sums)))</f>
        <v>2.824561404</v>
      </c>
      <c r="EQ258" s="116" t="str">
        <f t="shared" si="25"/>
        <v>No</v>
      </c>
      <c r="ER258" s="112"/>
      <c r="ES258" s="123">
        <f>1+((DX258-MIN(industry_experiences))*(4)/(MAX(industry_experiences) - MIN(industry_experiences)))</f>
        <v>1</v>
      </c>
      <c r="ET258" s="123">
        <f>1+((DY258-MIN(previous_startups))*(4)/(MAX(previous_startups) - MIN(previous_startups)))</f>
        <v>1.444444444</v>
      </c>
      <c r="EU258" s="123">
        <f>1+((DZ258-MIN(exits))*(4)/(MAX(exits) - MIN(exits)))</f>
        <v>1</v>
      </c>
      <c r="EV258" s="119">
        <f t="shared" si="26"/>
        <v>3.444444444</v>
      </c>
      <c r="EW258" s="124">
        <f>1+((EV258-MIN(team_ratings_sums))*(4)/(MAX(team_ratings_sums) - MIN(team_ratings_sums)))</f>
        <v>1.243478261</v>
      </c>
      <c r="EX258" s="116" t="str">
        <f t="shared" si="27"/>
        <v>35 - 54</v>
      </c>
      <c r="EY258" s="125">
        <f t="shared" si="28"/>
        <v>0.6849315068</v>
      </c>
      <c r="EZ258" s="116">
        <f t="shared" si="29"/>
        <v>2</v>
      </c>
      <c r="FA258" s="125">
        <f t="shared" si="30"/>
        <v>0.4520547945</v>
      </c>
      <c r="FB258" s="116">
        <f t="shared" si="31"/>
        <v>3</v>
      </c>
      <c r="FC258" s="125">
        <f t="shared" si="32"/>
        <v>0.08219178082</v>
      </c>
      <c r="FD258" s="116" t="str">
        <f t="shared" si="33"/>
        <v>No</v>
      </c>
      <c r="FE258" s="125">
        <f t="shared" si="34"/>
        <v>0.7534246575</v>
      </c>
      <c r="FF258" s="116" t="str">
        <f t="shared" ref="FF258:FH258" si="576">BJ258</f>
        <v>No</v>
      </c>
      <c r="FG258" s="116" t="str">
        <f t="shared" si="576"/>
        <v>No</v>
      </c>
      <c r="FH258" s="116" t="str">
        <f t="shared" si="576"/>
        <v>No</v>
      </c>
      <c r="FI258" s="112"/>
      <c r="FJ258" s="116" t="str">
        <f t="shared" si="36"/>
        <v>Transactional</v>
      </c>
      <c r="FK258" s="125">
        <f t="shared" si="37"/>
        <v>0.602739726</v>
      </c>
      <c r="FL258" s="116" t="str">
        <f t="shared" si="38"/>
        <v>B2B/B2C</v>
      </c>
      <c r="FM258" s="125">
        <f t="shared" si="39"/>
        <v>0.3287671233</v>
      </c>
      <c r="FN258" s="116" t="str">
        <f t="shared" si="40"/>
        <v>Low</v>
      </c>
      <c r="FO258" s="125">
        <f t="shared" si="41"/>
        <v>0.4383561644</v>
      </c>
      <c r="FP258" s="116" t="str">
        <f t="shared" si="42"/>
        <v>Low</v>
      </c>
      <c r="FQ258" s="125">
        <f t="shared" si="43"/>
        <v>0.3561643836</v>
      </c>
      <c r="FR258" s="112"/>
      <c r="FS258" s="123">
        <f t="shared" si="44"/>
        <v>5</v>
      </c>
      <c r="FT258" s="123">
        <f t="shared" si="45"/>
        <v>1.4</v>
      </c>
      <c r="FU258" s="123">
        <f t="shared" si="46"/>
        <v>5</v>
      </c>
      <c r="FV258" s="123">
        <f t="shared" si="47"/>
        <v>3.7</v>
      </c>
      <c r="FW258" s="119">
        <f t="shared" si="48"/>
        <v>15.1</v>
      </c>
      <c r="FX258" s="115">
        <f>1+((FW258-MIN(performance_ratings_sums))*(4)/(MAX(performance_ratings_sums) - MIN(performance_ratings_sums)))</f>
        <v>4.140186916</v>
      </c>
      <c r="FY258" s="116" t="str">
        <f t="shared" si="49"/>
        <v>Pre-Profit</v>
      </c>
      <c r="FZ258" s="126">
        <f t="shared" si="50"/>
        <v>0.4931506849</v>
      </c>
      <c r="GA258" s="112"/>
      <c r="GB258" s="127">
        <f t="shared" si="51"/>
        <v>3</v>
      </c>
      <c r="GC258" s="116" t="str">
        <f t="shared" si="52"/>
        <v>Yes</v>
      </c>
      <c r="GD258" s="126">
        <f t="shared" si="53"/>
        <v>0.2328767123</v>
      </c>
      <c r="GE258" s="126" t="str">
        <f t="shared" si="54"/>
        <v/>
      </c>
      <c r="GF258" s="126">
        <f t="shared" si="55"/>
        <v>0</v>
      </c>
      <c r="GG258" s="126" t="str">
        <f t="shared" si="56"/>
        <v/>
      </c>
      <c r="GH258" s="126">
        <f t="shared" si="57"/>
        <v>0</v>
      </c>
      <c r="GI258" s="112"/>
      <c r="GJ258" s="116"/>
      <c r="GK258" s="119">
        <f t="shared" si="58"/>
        <v>15.60822658</v>
      </c>
      <c r="GL258" s="128">
        <f>1+((GK258-MIN(ratings_sums))*(4)/(MAX(ratings_sums) - MIN(ratings_sums)))</f>
        <v>3.581823937</v>
      </c>
    </row>
    <row r="259" ht="15.75" customHeight="1">
      <c r="A259" s="161" t="s">
        <v>1128</v>
      </c>
      <c r="B259" s="15">
        <v>1800826.0</v>
      </c>
      <c r="C259" s="162" t="s">
        <v>1634</v>
      </c>
      <c r="D259" s="163">
        <v>43874.5</v>
      </c>
      <c r="E259" s="15" t="s">
        <v>392</v>
      </c>
      <c r="F259" s="164" t="s">
        <v>1635</v>
      </c>
      <c r="G259" s="164" t="s">
        <v>1636</v>
      </c>
      <c r="H259" s="210">
        <v>43868.0</v>
      </c>
      <c r="I259" s="162" t="s">
        <v>1637</v>
      </c>
      <c r="J259" s="162" t="s">
        <v>1634</v>
      </c>
      <c r="K259" s="15" t="s">
        <v>436</v>
      </c>
      <c r="L259" s="15" t="s">
        <v>390</v>
      </c>
      <c r="M259" s="15" t="s">
        <v>31</v>
      </c>
      <c r="N259" s="15" t="s">
        <v>32</v>
      </c>
      <c r="O259" s="15" t="s">
        <v>35</v>
      </c>
      <c r="Q259" s="15" t="s">
        <v>135</v>
      </c>
      <c r="R259" s="166"/>
      <c r="S259" s="120"/>
      <c r="T259" s="69">
        <v>5000000.0</v>
      </c>
      <c r="U259" s="69"/>
      <c r="V259" s="132"/>
      <c r="W259" s="96" t="str">
        <f t="shared" si="125"/>
        <v/>
      </c>
      <c r="X259" s="98">
        <f t="shared" si="126"/>
        <v>5000000</v>
      </c>
      <c r="Y259" s="99" t="str">
        <f t="shared" si="127"/>
        <v>$4M - $6M</v>
      </c>
      <c r="Z259" s="15" t="s">
        <v>36</v>
      </c>
      <c r="AA259" s="15" t="s">
        <v>87</v>
      </c>
      <c r="AB259" s="15" t="s">
        <v>38</v>
      </c>
      <c r="AC259" s="15" t="s">
        <v>493</v>
      </c>
      <c r="AD259" s="15" t="s">
        <v>89</v>
      </c>
      <c r="AE259" s="15" t="s">
        <v>89</v>
      </c>
      <c r="AF259" s="15" t="s">
        <v>469</v>
      </c>
      <c r="AG259" s="69">
        <v>4.45E9</v>
      </c>
      <c r="AH259" s="97" t="str">
        <f t="shared" si="128"/>
        <v>$1B-$5B</v>
      </c>
      <c r="AI259" s="69">
        <v>7.75E8</v>
      </c>
      <c r="AJ259" s="97" t="str">
        <f t="shared" si="129"/>
        <v>$500M-$1B</v>
      </c>
      <c r="AK259" s="167">
        <v>0.02</v>
      </c>
      <c r="AL259" s="88" t="str">
        <f t="shared" si="130"/>
        <v>0%-10%</v>
      </c>
      <c r="AM259" s="32">
        <v>2350.0</v>
      </c>
      <c r="AN259" s="15" t="s">
        <v>89</v>
      </c>
      <c r="AO259" s="15" t="s">
        <v>89</v>
      </c>
      <c r="AP259" s="15" t="s">
        <v>40</v>
      </c>
      <c r="AQ259" s="168"/>
      <c r="AR259" s="168"/>
      <c r="AS259" s="15" t="s">
        <v>469</v>
      </c>
      <c r="AT259" s="15" t="s">
        <v>469</v>
      </c>
      <c r="AU259" s="15" t="s">
        <v>469</v>
      </c>
      <c r="AV259" s="15" t="s">
        <v>469</v>
      </c>
      <c r="AW259" s="69">
        <v>0.0</v>
      </c>
      <c r="AX259" s="96" t="str">
        <f t="shared" si="131"/>
        <v>&lt; $10K</v>
      </c>
      <c r="AY259" s="69">
        <v>220.0</v>
      </c>
      <c r="AZ259" s="69">
        <v>0.0</v>
      </c>
      <c r="BA259" s="103" t="str">
        <f t="shared" si="132"/>
        <v>&lt; $10K</v>
      </c>
      <c r="BB259" s="103">
        <f t="shared" si="133"/>
        <v>1</v>
      </c>
      <c r="BC259" s="103" t="str">
        <f t="shared" si="134"/>
        <v>90% - 100%</v>
      </c>
      <c r="BD259" s="15" t="s">
        <v>41</v>
      </c>
      <c r="BF259" s="15" t="s">
        <v>493</v>
      </c>
      <c r="BG259" s="15">
        <v>1.0</v>
      </c>
      <c r="BH259" s="15">
        <v>1.0</v>
      </c>
      <c r="BI259" s="15" t="s">
        <v>469</v>
      </c>
      <c r="BJ259" s="15" t="s">
        <v>469</v>
      </c>
      <c r="BK259" s="15" t="s">
        <v>469</v>
      </c>
      <c r="BL259" s="15" t="s">
        <v>469</v>
      </c>
      <c r="BM259" s="15">
        <v>1.0</v>
      </c>
      <c r="BN259" s="15">
        <v>1.0</v>
      </c>
      <c r="BO259" s="15">
        <v>0.0</v>
      </c>
      <c r="BP259" s="15">
        <v>3.0</v>
      </c>
      <c r="BQ259" s="108"/>
      <c r="BR259" s="15">
        <v>0.0</v>
      </c>
      <c r="BS259" s="15">
        <v>0.0</v>
      </c>
      <c r="BT259" s="15">
        <v>0.0</v>
      </c>
      <c r="BU259" s="15">
        <v>42.0</v>
      </c>
      <c r="BV259" s="15" t="s">
        <v>469</v>
      </c>
      <c r="BW259" s="108"/>
      <c r="CC259" s="108"/>
      <c r="CI259" s="108"/>
      <c r="CO259" s="108"/>
      <c r="CU259" s="108"/>
      <c r="DA259" s="108"/>
      <c r="DG259" s="108"/>
      <c r="DM259" s="108"/>
      <c r="DS259" s="108"/>
      <c r="DT259" s="108"/>
      <c r="DU259" s="108"/>
      <c r="DW259" s="109"/>
      <c r="DX259" s="110">
        <f t="shared" si="13"/>
        <v>0</v>
      </c>
      <c r="DY259" s="111">
        <f t="shared" ref="DY259:DZ259" si="577">sum(BS259,BY259,CE259,CK259,CQ259,CW259,DC259,DI259,DO259)</f>
        <v>0</v>
      </c>
      <c r="DZ259" s="111">
        <f t="shared" si="577"/>
        <v>0</v>
      </c>
      <c r="EA259" s="110">
        <f t="shared" si="15"/>
        <v>42</v>
      </c>
      <c r="EB259" s="99" t="str">
        <f t="shared" si="16"/>
        <v>35 - 54</v>
      </c>
      <c r="EC259" s="112"/>
      <c r="ED259" s="113">
        <f t="shared" si="17"/>
        <v>4.4</v>
      </c>
      <c r="EE259" s="114" t="str">
        <f>IF(V259 &lt;&gt; "", 1+((V259-MIN(discount_rates))*(4)/(MAX(discount_rates) - MIN(discount_rates))), "")</f>
        <v/>
      </c>
      <c r="EF259" s="114" t="str">
        <f>IF(Q259="Debt", (1+((S259-MIN(interest_rates))*(4)/(MAX(interest_rates) - MIN(interest_rates)))), "")</f>
        <v/>
      </c>
      <c r="EG259" s="114" t="str">
        <f>IF(OR(Q259="Revenue Share", Q259="Profit Share"), (1+((R259-MIN(return_mutiples))*(4)/(MAX(return_mutiples) - MIN(return_mutiples)))), "")</f>
        <v/>
      </c>
      <c r="EH259" s="115">
        <f t="shared" si="18"/>
        <v>4.4</v>
      </c>
      <c r="EI259" s="116" t="str">
        <f t="shared" si="19"/>
        <v>Equity - Preferred</v>
      </c>
      <c r="EJ259" s="117">
        <f t="shared" si="20"/>
        <v>0.06849315068</v>
      </c>
      <c r="EK259" s="116" t="str">
        <f t="shared" si="21"/>
        <v>Early</v>
      </c>
      <c r="EL259" s="112"/>
      <c r="EM259" s="118">
        <f t="shared" si="22"/>
        <v>2.4</v>
      </c>
      <c r="EN259" s="118">
        <f t="shared" si="23"/>
        <v>1.7</v>
      </c>
      <c r="EO259" s="119">
        <f t="shared" si="24"/>
        <v>4.1</v>
      </c>
      <c r="EP259" s="115">
        <f>1+((EO259-MIN(market_ratings_sums))*(4)/(MAX(market_ratings_sums) - MIN(market_ratings_sums)))</f>
        <v>1.98245614</v>
      </c>
      <c r="EQ259" s="116" t="str">
        <f t="shared" si="25"/>
        <v>No</v>
      </c>
      <c r="ER259" s="112"/>
      <c r="ES259" s="123">
        <f>1+((DX259-MIN(industry_experiences))*(4)/(MAX(industry_experiences) - MIN(industry_experiences)))</f>
        <v>1</v>
      </c>
      <c r="ET259" s="123">
        <f>1+((DY259-MIN(previous_startups))*(4)/(MAX(previous_startups) - MIN(previous_startups)))</f>
        <v>1</v>
      </c>
      <c r="EU259" s="123">
        <f>1+((DZ259-MIN(exits))*(4)/(MAX(exits) - MIN(exits)))</f>
        <v>1</v>
      </c>
      <c r="EV259" s="119">
        <f t="shared" si="26"/>
        <v>3</v>
      </c>
      <c r="EW259" s="124">
        <f>1+((EV259-MIN(team_ratings_sums))*(4)/(MAX(team_ratings_sums) - MIN(team_ratings_sums)))</f>
        <v>1</v>
      </c>
      <c r="EX259" s="116" t="str">
        <f t="shared" si="27"/>
        <v>35 - 54</v>
      </c>
      <c r="EY259" s="125">
        <f t="shared" si="28"/>
        <v>0.6849315068</v>
      </c>
      <c r="EZ259" s="116">
        <f t="shared" si="29"/>
        <v>1</v>
      </c>
      <c r="FA259" s="125">
        <f t="shared" si="30"/>
        <v>0.4383561644</v>
      </c>
      <c r="FB259" s="116">
        <f t="shared" si="31"/>
        <v>1</v>
      </c>
      <c r="FC259" s="125">
        <f t="shared" si="32"/>
        <v>0.08219178082</v>
      </c>
      <c r="FD259" s="116" t="str">
        <f t="shared" si="33"/>
        <v>No</v>
      </c>
      <c r="FE259" s="125">
        <f t="shared" si="34"/>
        <v>0.7534246575</v>
      </c>
      <c r="FF259" s="116" t="str">
        <f t="shared" ref="FF259:FH259" si="578">BJ259</f>
        <v>No</v>
      </c>
      <c r="FG259" s="116" t="str">
        <f t="shared" si="578"/>
        <v>No</v>
      </c>
      <c r="FH259" s="116" t="str">
        <f t="shared" si="578"/>
        <v>No</v>
      </c>
      <c r="FI259" s="112"/>
      <c r="FJ259" s="116" t="str">
        <f t="shared" si="36"/>
        <v>Transactional</v>
      </c>
      <c r="FK259" s="125">
        <f t="shared" si="37"/>
        <v>0.602739726</v>
      </c>
      <c r="FL259" s="116" t="str">
        <f t="shared" si="38"/>
        <v>B2C</v>
      </c>
      <c r="FM259" s="125">
        <f t="shared" si="39"/>
        <v>0.397260274</v>
      </c>
      <c r="FN259" s="116" t="str">
        <f t="shared" si="40"/>
        <v>Low</v>
      </c>
      <c r="FO259" s="125">
        <f t="shared" si="41"/>
        <v>0.4383561644</v>
      </c>
      <c r="FP259" s="116" t="str">
        <f t="shared" si="42"/>
        <v>Low</v>
      </c>
      <c r="FQ259" s="125">
        <f t="shared" si="43"/>
        <v>0.3561643836</v>
      </c>
      <c r="FR259" s="112"/>
      <c r="FS259" s="123">
        <f t="shared" si="44"/>
        <v>1</v>
      </c>
      <c r="FT259" s="123">
        <f t="shared" si="45"/>
        <v>1</v>
      </c>
      <c r="FU259" s="123">
        <f t="shared" si="46"/>
        <v>1</v>
      </c>
      <c r="FV259" s="123">
        <f t="shared" si="47"/>
        <v>5</v>
      </c>
      <c r="FW259" s="119">
        <f t="shared" si="48"/>
        <v>8</v>
      </c>
      <c r="FX259" s="115">
        <f>1+((FW259-MIN(performance_ratings_sums))*(4)/(MAX(performance_ratings_sums) - MIN(performance_ratings_sums)))</f>
        <v>1.485981308</v>
      </c>
      <c r="FY259" s="116" t="str">
        <f t="shared" si="49"/>
        <v>Pre-Product</v>
      </c>
      <c r="FZ259" s="126">
        <f t="shared" si="50"/>
        <v>0.2328767123</v>
      </c>
      <c r="GA259" s="112"/>
      <c r="GB259" s="127">
        <f t="shared" si="51"/>
        <v>1</v>
      </c>
      <c r="GC259" s="116" t="str">
        <f t="shared" si="52"/>
        <v>No</v>
      </c>
      <c r="GD259" s="126">
        <f t="shared" si="53"/>
        <v>0.7671232877</v>
      </c>
      <c r="GE259" s="126" t="str">
        <f t="shared" si="54"/>
        <v/>
      </c>
      <c r="GF259" s="126">
        <f t="shared" si="55"/>
        <v>0</v>
      </c>
      <c r="GG259" s="126" t="str">
        <f t="shared" si="56"/>
        <v/>
      </c>
      <c r="GH259" s="126">
        <f t="shared" si="57"/>
        <v>0</v>
      </c>
      <c r="GI259" s="112"/>
      <c r="GJ259" s="116"/>
      <c r="GK259" s="119">
        <f t="shared" si="58"/>
        <v>9.868437449</v>
      </c>
      <c r="GL259" s="128">
        <f>1+((GK259-MIN(ratings_sums))*(4)/(MAX(ratings_sums) - MIN(ratings_sums)))</f>
        <v>1.820627226</v>
      </c>
    </row>
    <row r="260" ht="15.75" customHeight="1">
      <c r="A260" s="161" t="s">
        <v>1128</v>
      </c>
      <c r="B260" s="15">
        <v>1803721.0</v>
      </c>
      <c r="C260" s="162" t="s">
        <v>1638</v>
      </c>
      <c r="D260" s="163">
        <v>43892.46597222222</v>
      </c>
      <c r="E260" s="15" t="s">
        <v>381</v>
      </c>
      <c r="F260" s="164" t="s">
        <v>1639</v>
      </c>
      <c r="G260" s="164" t="s">
        <v>1640</v>
      </c>
      <c r="H260" s="210">
        <v>43888.0</v>
      </c>
      <c r="I260" s="162" t="s">
        <v>1641</v>
      </c>
      <c r="J260" s="162" t="s">
        <v>1638</v>
      </c>
      <c r="K260" s="15" t="s">
        <v>436</v>
      </c>
      <c r="L260" s="15" t="s">
        <v>390</v>
      </c>
      <c r="M260" s="15" t="s">
        <v>31</v>
      </c>
      <c r="N260" s="15" t="s">
        <v>32</v>
      </c>
      <c r="O260" s="15" t="s">
        <v>35</v>
      </c>
      <c r="Q260" s="15" t="s">
        <v>121</v>
      </c>
      <c r="R260" s="166"/>
      <c r="S260" s="120"/>
      <c r="T260" s="69">
        <v>9000000.0</v>
      </c>
      <c r="U260" s="69"/>
      <c r="V260" s="132"/>
      <c r="W260" s="96" t="str">
        <f t="shared" si="125"/>
        <v/>
      </c>
      <c r="X260" s="98">
        <f t="shared" si="126"/>
        <v>9000000</v>
      </c>
      <c r="Y260" s="99" t="str">
        <f t="shared" si="127"/>
        <v>$8M - $10M</v>
      </c>
      <c r="Z260" s="15" t="s">
        <v>86</v>
      </c>
      <c r="AA260" s="15" t="s">
        <v>123</v>
      </c>
      <c r="AB260" s="15" t="s">
        <v>38</v>
      </c>
      <c r="AC260" s="15" t="s">
        <v>493</v>
      </c>
      <c r="AD260" s="15" t="s">
        <v>39</v>
      </c>
      <c r="AE260" s="15" t="s">
        <v>89</v>
      </c>
      <c r="AF260" s="15" t="s">
        <v>469</v>
      </c>
      <c r="AG260" s="69">
        <v>7.557E10</v>
      </c>
      <c r="AH260" s="97" t="str">
        <f t="shared" si="128"/>
        <v>$50B-$100B</v>
      </c>
      <c r="AI260" s="69">
        <v>7.557E10</v>
      </c>
      <c r="AJ260" s="97" t="str">
        <f t="shared" si="129"/>
        <v>$50B-$100B</v>
      </c>
      <c r="AK260" s="167">
        <v>0.03</v>
      </c>
      <c r="AL260" s="88" t="str">
        <f t="shared" si="130"/>
        <v>0%-10%</v>
      </c>
      <c r="AM260" s="15">
        <v>2.0</v>
      </c>
      <c r="AN260" s="15" t="s">
        <v>39</v>
      </c>
      <c r="AO260" s="15" t="s">
        <v>89</v>
      </c>
      <c r="AP260" s="15" t="s">
        <v>40</v>
      </c>
      <c r="AQ260" s="168"/>
      <c r="AR260" s="168"/>
      <c r="AS260" s="15" t="s">
        <v>469</v>
      </c>
      <c r="AT260" s="15" t="s">
        <v>469</v>
      </c>
      <c r="AU260" s="15" t="s">
        <v>493</v>
      </c>
      <c r="AV260" s="15" t="s">
        <v>493</v>
      </c>
      <c r="AW260" s="69">
        <v>20273.0</v>
      </c>
      <c r="AX260" s="96" t="str">
        <f t="shared" si="131"/>
        <v>$10K - $50K</v>
      </c>
      <c r="AY260" s="69">
        <v>874.0</v>
      </c>
      <c r="AZ260" s="69">
        <v>0.0</v>
      </c>
      <c r="BA260" s="103" t="str">
        <f t="shared" si="132"/>
        <v>&lt; $10K</v>
      </c>
      <c r="BB260" s="103">
        <f t="shared" si="133"/>
        <v>1</v>
      </c>
      <c r="BC260" s="103" t="str">
        <f t="shared" si="134"/>
        <v>90% - 100%</v>
      </c>
      <c r="BD260" s="15" t="s">
        <v>107</v>
      </c>
      <c r="BF260" s="15" t="s">
        <v>493</v>
      </c>
      <c r="BG260" s="15">
        <v>3.0</v>
      </c>
      <c r="BH260" s="15">
        <v>2.0</v>
      </c>
      <c r="BI260" s="15" t="s">
        <v>469</v>
      </c>
      <c r="BJ260" s="15" t="s">
        <v>469</v>
      </c>
      <c r="BK260" s="15" t="s">
        <v>469</v>
      </c>
      <c r="BL260" s="15" t="s">
        <v>469</v>
      </c>
      <c r="BM260" s="15">
        <v>2.0</v>
      </c>
      <c r="BN260" s="15">
        <v>2.0</v>
      </c>
      <c r="BO260" s="15">
        <v>1.0</v>
      </c>
      <c r="BP260" s="15">
        <v>1.0</v>
      </c>
      <c r="BQ260" s="108"/>
      <c r="BR260" s="15">
        <v>0.0</v>
      </c>
      <c r="BS260" s="15">
        <v>0.0</v>
      </c>
      <c r="BT260" s="15">
        <v>0.0</v>
      </c>
      <c r="BU260" s="15">
        <v>41.0</v>
      </c>
      <c r="BV260" s="15" t="s">
        <v>469</v>
      </c>
      <c r="BW260" s="108"/>
      <c r="BX260" s="15">
        <v>0.0</v>
      </c>
      <c r="BY260" s="15">
        <v>2.0</v>
      </c>
      <c r="BZ260" s="15">
        <v>0.0</v>
      </c>
      <c r="CA260" s="15">
        <v>41.0</v>
      </c>
      <c r="CB260" s="15" t="s">
        <v>469</v>
      </c>
      <c r="CC260" s="108"/>
      <c r="CI260" s="108"/>
      <c r="CO260" s="108"/>
      <c r="CU260" s="108"/>
      <c r="DA260" s="108"/>
      <c r="DG260" s="108"/>
      <c r="DM260" s="108"/>
      <c r="DS260" s="108"/>
      <c r="DT260" s="108"/>
      <c r="DU260" s="108"/>
      <c r="DW260" s="109"/>
      <c r="DX260" s="110">
        <f t="shared" si="13"/>
        <v>0</v>
      </c>
      <c r="DY260" s="111">
        <f t="shared" ref="DY260:DZ260" si="579">sum(BS260,BY260,CE260,CK260,CQ260,CW260,DC260,DI260,DO260)</f>
        <v>2</v>
      </c>
      <c r="DZ260" s="111">
        <f t="shared" si="579"/>
        <v>0</v>
      </c>
      <c r="EA260" s="110">
        <f t="shared" si="15"/>
        <v>41</v>
      </c>
      <c r="EB260" s="99" t="str">
        <f t="shared" si="16"/>
        <v>35 - 54</v>
      </c>
      <c r="EC260" s="112"/>
      <c r="ED260" s="113">
        <f t="shared" si="17"/>
        <v>4</v>
      </c>
      <c r="EE260" s="114" t="str">
        <f>IF(V260 &lt;&gt; "", 1+((V260-MIN(discount_rates))*(4)/(MAX(discount_rates) - MIN(discount_rates))), "")</f>
        <v/>
      </c>
      <c r="EF260" s="114" t="str">
        <f>IF(Q260="Debt", (1+((S260-MIN(interest_rates))*(4)/(MAX(interest_rates) - MIN(interest_rates)))), "")</f>
        <v/>
      </c>
      <c r="EG260" s="114" t="str">
        <f>IF(OR(Q260="Revenue Share", Q260="Profit Share"), (1+((R260-MIN(return_mutiples))*(4)/(MAX(return_mutiples) - MIN(return_mutiples)))), "")</f>
        <v/>
      </c>
      <c r="EH260" s="115">
        <f t="shared" si="18"/>
        <v>4</v>
      </c>
      <c r="EI260" s="116" t="str">
        <f t="shared" si="19"/>
        <v>Equity - Common</v>
      </c>
      <c r="EJ260" s="117">
        <f t="shared" si="20"/>
        <v>0.3287671233</v>
      </c>
      <c r="EK260" s="116" t="str">
        <f t="shared" si="21"/>
        <v>Early</v>
      </c>
      <c r="EL260" s="112"/>
      <c r="EM260" s="118">
        <f t="shared" si="22"/>
        <v>3.9</v>
      </c>
      <c r="EN260" s="118">
        <f t="shared" si="23"/>
        <v>1.7</v>
      </c>
      <c r="EO260" s="119">
        <f t="shared" si="24"/>
        <v>5.6</v>
      </c>
      <c r="EP260" s="115">
        <f>1+((EO260-MIN(market_ratings_sums))*(4)/(MAX(market_ratings_sums) - MIN(market_ratings_sums)))</f>
        <v>3.035087719</v>
      </c>
      <c r="EQ260" s="116" t="str">
        <f t="shared" si="25"/>
        <v>No</v>
      </c>
      <c r="ER260" s="112"/>
      <c r="ES260" s="123">
        <f>1+((DX260-MIN(industry_experiences))*(4)/(MAX(industry_experiences) - MIN(industry_experiences)))</f>
        <v>1</v>
      </c>
      <c r="ET260" s="123">
        <f>1+((DY260-MIN(previous_startups))*(4)/(MAX(previous_startups) - MIN(previous_startups)))</f>
        <v>1.888888889</v>
      </c>
      <c r="EU260" s="123">
        <f>1+((DZ260-MIN(exits))*(4)/(MAX(exits) - MIN(exits)))</f>
        <v>1</v>
      </c>
      <c r="EV260" s="119">
        <f t="shared" si="26"/>
        <v>3.888888889</v>
      </c>
      <c r="EW260" s="124">
        <f>1+((EV260-MIN(team_ratings_sums))*(4)/(MAX(team_ratings_sums) - MIN(team_ratings_sums)))</f>
        <v>1.486956522</v>
      </c>
      <c r="EX260" s="116" t="str">
        <f t="shared" si="27"/>
        <v>35 - 54</v>
      </c>
      <c r="EY260" s="125">
        <f t="shared" si="28"/>
        <v>0.6849315068</v>
      </c>
      <c r="EZ260" s="116">
        <f t="shared" si="29"/>
        <v>2</v>
      </c>
      <c r="FA260" s="125">
        <f t="shared" si="30"/>
        <v>0.4520547945</v>
      </c>
      <c r="FB260" s="116">
        <f t="shared" si="31"/>
        <v>2</v>
      </c>
      <c r="FC260" s="125">
        <f t="shared" si="32"/>
        <v>0.1369863014</v>
      </c>
      <c r="FD260" s="116" t="str">
        <f t="shared" si="33"/>
        <v>No</v>
      </c>
      <c r="FE260" s="125">
        <f t="shared" si="34"/>
        <v>0.7534246575</v>
      </c>
      <c r="FF260" s="116" t="str">
        <f t="shared" ref="FF260:FH260" si="580">BJ260</f>
        <v>No</v>
      </c>
      <c r="FG260" s="116" t="str">
        <f t="shared" si="580"/>
        <v>No</v>
      </c>
      <c r="FH260" s="116" t="str">
        <f t="shared" si="580"/>
        <v>No</v>
      </c>
      <c r="FI260" s="112"/>
      <c r="FJ260" s="116" t="str">
        <f t="shared" si="36"/>
        <v>Recurring</v>
      </c>
      <c r="FK260" s="125">
        <f t="shared" si="37"/>
        <v>0.397260274</v>
      </c>
      <c r="FL260" s="116" t="str">
        <f t="shared" si="38"/>
        <v>B2B/B2C</v>
      </c>
      <c r="FM260" s="125">
        <f t="shared" si="39"/>
        <v>0.3287671233</v>
      </c>
      <c r="FN260" s="116" t="str">
        <f t="shared" si="40"/>
        <v>High</v>
      </c>
      <c r="FO260" s="125">
        <f t="shared" si="41"/>
        <v>0.5616438356</v>
      </c>
      <c r="FP260" s="116" t="str">
        <f t="shared" si="42"/>
        <v>Low</v>
      </c>
      <c r="FQ260" s="125">
        <f t="shared" si="43"/>
        <v>0.3561643836</v>
      </c>
      <c r="FR260" s="112"/>
      <c r="FS260" s="123">
        <f t="shared" si="44"/>
        <v>5</v>
      </c>
      <c r="FT260" s="123">
        <f t="shared" si="45"/>
        <v>1.4</v>
      </c>
      <c r="FU260" s="123">
        <f t="shared" si="46"/>
        <v>1</v>
      </c>
      <c r="FV260" s="123">
        <f t="shared" si="47"/>
        <v>5</v>
      </c>
      <c r="FW260" s="119">
        <f t="shared" si="48"/>
        <v>12.4</v>
      </c>
      <c r="FX260" s="115">
        <f>1+((FW260-MIN(performance_ratings_sums))*(4)/(MAX(performance_ratings_sums) - MIN(performance_ratings_sums)))</f>
        <v>3.130841121</v>
      </c>
      <c r="FY260" s="116" t="str">
        <f t="shared" si="49"/>
        <v>Pre-Profit</v>
      </c>
      <c r="FZ260" s="126">
        <f t="shared" si="50"/>
        <v>0.4931506849</v>
      </c>
      <c r="GA260" s="112"/>
      <c r="GB260" s="127">
        <f t="shared" si="51"/>
        <v>3</v>
      </c>
      <c r="GC260" s="116" t="str">
        <f t="shared" si="52"/>
        <v>No</v>
      </c>
      <c r="GD260" s="126">
        <f t="shared" si="53"/>
        <v>0.7671232877</v>
      </c>
      <c r="GE260" s="126" t="str">
        <f t="shared" si="54"/>
        <v/>
      </c>
      <c r="GF260" s="126">
        <f t="shared" si="55"/>
        <v>0</v>
      </c>
      <c r="GG260" s="126" t="str">
        <f t="shared" si="56"/>
        <v/>
      </c>
      <c r="GH260" s="126">
        <f t="shared" si="57"/>
        <v>0</v>
      </c>
      <c r="GI260" s="112"/>
      <c r="GJ260" s="116"/>
      <c r="GK260" s="119">
        <f t="shared" si="58"/>
        <v>14.65288536</v>
      </c>
      <c r="GL260" s="128">
        <f>1+((GK260-MIN(ratings_sums))*(4)/(MAX(ratings_sums) - MIN(ratings_sums)))</f>
        <v>3.288687068</v>
      </c>
    </row>
    <row r="261" ht="15.75" customHeight="1">
      <c r="A261" s="161" t="s">
        <v>1128</v>
      </c>
      <c r="B261" s="15">
        <v>1803728.0</v>
      </c>
      <c r="C261" s="162" t="s">
        <v>1642</v>
      </c>
      <c r="D261" s="163">
        <v>43892.47152777778</v>
      </c>
      <c r="E261" s="15" t="s">
        <v>381</v>
      </c>
      <c r="F261" s="164" t="s">
        <v>1643</v>
      </c>
      <c r="G261" s="164" t="s">
        <v>1644</v>
      </c>
      <c r="H261" s="210">
        <v>43894.0</v>
      </c>
      <c r="I261" s="162" t="s">
        <v>1645</v>
      </c>
      <c r="J261" s="162" t="s">
        <v>1642</v>
      </c>
      <c r="K261" s="15" t="s">
        <v>529</v>
      </c>
      <c r="L261" s="15" t="s">
        <v>390</v>
      </c>
      <c r="M261" s="15" t="s">
        <v>31</v>
      </c>
      <c r="N261" s="15" t="s">
        <v>82</v>
      </c>
      <c r="O261" s="15" t="s">
        <v>35</v>
      </c>
      <c r="Q261" s="15" t="s">
        <v>121</v>
      </c>
      <c r="R261" s="166"/>
      <c r="S261" s="120"/>
      <c r="T261" s="69">
        <v>6030000.0</v>
      </c>
      <c r="U261" s="69"/>
      <c r="V261" s="132"/>
      <c r="W261" s="96" t="str">
        <f t="shared" si="125"/>
        <v/>
      </c>
      <c r="X261" s="98">
        <f t="shared" si="126"/>
        <v>6030000</v>
      </c>
      <c r="Y261" s="99" t="str">
        <f t="shared" si="127"/>
        <v>$6M - $8M</v>
      </c>
      <c r="Z261" s="15" t="s">
        <v>86</v>
      </c>
      <c r="AA261" s="15" t="s">
        <v>123</v>
      </c>
      <c r="AB261" s="15" t="s">
        <v>38</v>
      </c>
      <c r="AC261" s="15" t="s">
        <v>493</v>
      </c>
      <c r="AD261" s="15" t="s">
        <v>89</v>
      </c>
      <c r="AE261" s="15" t="s">
        <v>89</v>
      </c>
      <c r="AF261" s="15" t="s">
        <v>469</v>
      </c>
      <c r="AG261" s="69">
        <v>6.288E10</v>
      </c>
      <c r="AH261" s="97" t="str">
        <f t="shared" si="128"/>
        <v>$50B-$100B</v>
      </c>
      <c r="AI261" s="69">
        <v>6.288E10</v>
      </c>
      <c r="AJ261" s="97" t="str">
        <f t="shared" si="129"/>
        <v>$50B-$100B</v>
      </c>
      <c r="AK261" s="167">
        <v>0.05</v>
      </c>
      <c r="AL261" s="88" t="str">
        <f t="shared" si="130"/>
        <v>0%-10%</v>
      </c>
      <c r="AM261" s="32">
        <v>57684.0</v>
      </c>
      <c r="AN261" s="15" t="s">
        <v>89</v>
      </c>
      <c r="AO261" s="15" t="s">
        <v>89</v>
      </c>
      <c r="AP261" s="15" t="s">
        <v>40</v>
      </c>
      <c r="AQ261" s="168"/>
      <c r="AR261" s="168"/>
      <c r="AS261" s="15" t="s">
        <v>469</v>
      </c>
      <c r="AT261" s="15" t="s">
        <v>469</v>
      </c>
      <c r="AU261" s="15" t="s">
        <v>493</v>
      </c>
      <c r="AV261" s="15" t="s">
        <v>493</v>
      </c>
      <c r="AW261" s="69">
        <v>9450.0</v>
      </c>
      <c r="AX261" s="96" t="str">
        <f t="shared" si="131"/>
        <v>&lt; $10K</v>
      </c>
      <c r="AY261" s="69">
        <v>19784.0</v>
      </c>
      <c r="AZ261" s="69">
        <v>1235000.0</v>
      </c>
      <c r="BA261" s="103" t="str">
        <f t="shared" si="132"/>
        <v>$1M - $2M</v>
      </c>
      <c r="BB261" s="103">
        <f t="shared" si="133"/>
        <v>0.0160194332</v>
      </c>
      <c r="BC261" s="103" t="str">
        <f t="shared" si="134"/>
        <v>&lt; 10%</v>
      </c>
      <c r="BD261" s="15" t="s">
        <v>107</v>
      </c>
      <c r="BF261" s="15" t="s">
        <v>493</v>
      </c>
      <c r="BG261" s="15">
        <v>0.0</v>
      </c>
      <c r="BH261" s="15">
        <v>4.0</v>
      </c>
      <c r="BI261" s="15" t="s">
        <v>493</v>
      </c>
      <c r="BJ261" s="15" t="s">
        <v>469</v>
      </c>
      <c r="BK261" s="15" t="s">
        <v>493</v>
      </c>
      <c r="BL261" s="15" t="s">
        <v>469</v>
      </c>
      <c r="BM261" s="15">
        <v>2.0</v>
      </c>
      <c r="BN261" s="15">
        <v>4.0</v>
      </c>
      <c r="BO261" s="15">
        <v>0.0</v>
      </c>
      <c r="BP261" s="15">
        <v>0.0</v>
      </c>
      <c r="BQ261" s="108"/>
      <c r="BR261" s="15">
        <v>0.0</v>
      </c>
      <c r="BS261" s="15">
        <v>1.0</v>
      </c>
      <c r="BT261" s="15">
        <v>0.0</v>
      </c>
      <c r="BU261" s="15">
        <v>42.0</v>
      </c>
      <c r="BV261" s="15" t="s">
        <v>469</v>
      </c>
      <c r="BW261" s="108"/>
      <c r="BX261" s="15">
        <v>7.0</v>
      </c>
      <c r="CC261" s="108"/>
      <c r="CD261" s="15">
        <v>0.0</v>
      </c>
      <c r="CE261" s="15">
        <v>3.0</v>
      </c>
      <c r="CF261" s="15">
        <v>0.0</v>
      </c>
      <c r="CG261" s="15">
        <v>28.0</v>
      </c>
      <c r="CH261" s="15" t="s">
        <v>469</v>
      </c>
      <c r="CI261" s="108"/>
      <c r="CJ261" s="15">
        <v>0.0</v>
      </c>
      <c r="CK261" s="15">
        <v>2.0</v>
      </c>
      <c r="CL261" s="15">
        <v>0.0</v>
      </c>
      <c r="CO261" s="108"/>
      <c r="CU261" s="108"/>
      <c r="DA261" s="108"/>
      <c r="DG261" s="108"/>
      <c r="DM261" s="108"/>
      <c r="DS261" s="108"/>
      <c r="DT261" s="108"/>
      <c r="DU261" s="108"/>
      <c r="DW261" s="109"/>
      <c r="DX261" s="110">
        <f t="shared" si="13"/>
        <v>1.75</v>
      </c>
      <c r="DY261" s="111">
        <f t="shared" ref="DY261:DZ261" si="581">sum(BS261,BY261,CE261,CK261,CQ261,CW261,DC261,DI261,DO261)</f>
        <v>6</v>
      </c>
      <c r="DZ261" s="111">
        <f t="shared" si="581"/>
        <v>0</v>
      </c>
      <c r="EA261" s="110">
        <f t="shared" si="15"/>
        <v>35</v>
      </c>
      <c r="EB261" s="99" t="str">
        <f t="shared" si="16"/>
        <v>35 - 54</v>
      </c>
      <c r="EC261" s="112"/>
      <c r="ED261" s="113">
        <f t="shared" si="17"/>
        <v>4.2</v>
      </c>
      <c r="EE261" s="114" t="str">
        <f>IF(V261 &lt;&gt; "", 1+((V261-MIN(discount_rates))*(4)/(MAX(discount_rates) - MIN(discount_rates))), "")</f>
        <v/>
      </c>
      <c r="EF261" s="114" t="str">
        <f>IF(Q261="Debt", (1+((S261-MIN(interest_rates))*(4)/(MAX(interest_rates) - MIN(interest_rates)))), "")</f>
        <v/>
      </c>
      <c r="EG261" s="114" t="str">
        <f>IF(OR(Q261="Revenue Share", Q261="Profit Share"), (1+((R261-MIN(return_mutiples))*(4)/(MAX(return_mutiples) - MIN(return_mutiples)))), "")</f>
        <v/>
      </c>
      <c r="EH261" s="115">
        <f t="shared" si="18"/>
        <v>4.2</v>
      </c>
      <c r="EI261" s="116" t="str">
        <f t="shared" si="19"/>
        <v>Equity - Common</v>
      </c>
      <c r="EJ261" s="117">
        <f t="shared" si="20"/>
        <v>0.3287671233</v>
      </c>
      <c r="EK261" s="116" t="str">
        <f t="shared" si="21"/>
        <v>Early</v>
      </c>
      <c r="EL261" s="112"/>
      <c r="EM261" s="118">
        <f t="shared" si="22"/>
        <v>3.9</v>
      </c>
      <c r="EN261" s="118">
        <f t="shared" si="23"/>
        <v>1.7</v>
      </c>
      <c r="EO261" s="119">
        <f t="shared" si="24"/>
        <v>5.6</v>
      </c>
      <c r="EP261" s="115">
        <f>1+((EO261-MIN(market_ratings_sums))*(4)/(MAX(market_ratings_sums) - MIN(market_ratings_sums)))</f>
        <v>3.035087719</v>
      </c>
      <c r="EQ261" s="116" t="str">
        <f t="shared" si="25"/>
        <v>No</v>
      </c>
      <c r="ER261" s="112"/>
      <c r="ES261" s="123">
        <f>1+((DX261-MIN(industry_experiences))*(4)/(MAX(industry_experiences) - MIN(industry_experiences)))</f>
        <v>1.166666667</v>
      </c>
      <c r="ET261" s="123">
        <f>1+((DY261-MIN(previous_startups))*(4)/(MAX(previous_startups) - MIN(previous_startups)))</f>
        <v>3.666666667</v>
      </c>
      <c r="EU261" s="123">
        <f>1+((DZ261-MIN(exits))*(4)/(MAX(exits) - MIN(exits)))</f>
        <v>1</v>
      </c>
      <c r="EV261" s="119">
        <f t="shared" si="26"/>
        <v>5.833333333</v>
      </c>
      <c r="EW261" s="124">
        <f>1+((EV261-MIN(team_ratings_sums))*(4)/(MAX(team_ratings_sums) - MIN(team_ratings_sums)))</f>
        <v>2.552173913</v>
      </c>
      <c r="EX261" s="116" t="str">
        <f t="shared" si="27"/>
        <v>35 - 54</v>
      </c>
      <c r="EY261" s="125">
        <f t="shared" si="28"/>
        <v>0.6849315068</v>
      </c>
      <c r="EZ261" s="116">
        <f t="shared" si="29"/>
        <v>4</v>
      </c>
      <c r="FA261" s="125">
        <f t="shared" si="30"/>
        <v>0.05479452055</v>
      </c>
      <c r="FB261" s="116">
        <f t="shared" si="31"/>
        <v>4</v>
      </c>
      <c r="FC261" s="125">
        <f t="shared" si="32"/>
        <v>0.1369863014</v>
      </c>
      <c r="FD261" s="116" t="str">
        <f t="shared" si="33"/>
        <v>Yes</v>
      </c>
      <c r="FE261" s="125">
        <f t="shared" si="34"/>
        <v>0.2465753425</v>
      </c>
      <c r="FF261" s="116" t="str">
        <f t="shared" ref="FF261:FH261" si="582">BJ261</f>
        <v>No</v>
      </c>
      <c r="FG261" s="116" t="str">
        <f t="shared" si="582"/>
        <v>Yes</v>
      </c>
      <c r="FH261" s="116" t="str">
        <f t="shared" si="582"/>
        <v>No</v>
      </c>
      <c r="FI261" s="112"/>
      <c r="FJ261" s="116" t="str">
        <f t="shared" si="36"/>
        <v>Recurring</v>
      </c>
      <c r="FK261" s="125">
        <f t="shared" si="37"/>
        <v>0.397260274</v>
      </c>
      <c r="FL261" s="116" t="str">
        <f t="shared" si="38"/>
        <v>B2B/B2C</v>
      </c>
      <c r="FM261" s="125">
        <f t="shared" si="39"/>
        <v>0.3287671233</v>
      </c>
      <c r="FN261" s="116" t="str">
        <f t="shared" si="40"/>
        <v>Low</v>
      </c>
      <c r="FO261" s="125">
        <f t="shared" si="41"/>
        <v>0.4383561644</v>
      </c>
      <c r="FP261" s="116" t="str">
        <f t="shared" si="42"/>
        <v>Low</v>
      </c>
      <c r="FQ261" s="125">
        <f t="shared" si="43"/>
        <v>0.3561643836</v>
      </c>
      <c r="FR261" s="112"/>
      <c r="FS261" s="123">
        <f t="shared" si="44"/>
        <v>5</v>
      </c>
      <c r="FT261" s="123">
        <f t="shared" si="45"/>
        <v>1</v>
      </c>
      <c r="FU261" s="123">
        <f t="shared" si="46"/>
        <v>5</v>
      </c>
      <c r="FV261" s="123">
        <f t="shared" si="47"/>
        <v>2.8</v>
      </c>
      <c r="FW261" s="119">
        <f t="shared" si="48"/>
        <v>13.8</v>
      </c>
      <c r="FX261" s="115">
        <f>1+((FW261-MIN(performance_ratings_sums))*(4)/(MAX(performance_ratings_sums) - MIN(performance_ratings_sums)))</f>
        <v>3.654205607</v>
      </c>
      <c r="FY261" s="116" t="str">
        <f t="shared" si="49"/>
        <v>Pre-Profit</v>
      </c>
      <c r="FZ261" s="126">
        <f t="shared" si="50"/>
        <v>0.4931506849</v>
      </c>
      <c r="GA261" s="112"/>
      <c r="GB261" s="127">
        <f t="shared" si="51"/>
        <v>1</v>
      </c>
      <c r="GC261" s="116" t="str">
        <f t="shared" si="52"/>
        <v>No</v>
      </c>
      <c r="GD261" s="126">
        <f t="shared" si="53"/>
        <v>0.7671232877</v>
      </c>
      <c r="GE261" s="126" t="str">
        <f t="shared" si="54"/>
        <v/>
      </c>
      <c r="GF261" s="126">
        <f t="shared" si="55"/>
        <v>0</v>
      </c>
      <c r="GG261" s="126" t="str">
        <f t="shared" si="56"/>
        <v/>
      </c>
      <c r="GH261" s="126">
        <f t="shared" si="57"/>
        <v>0</v>
      </c>
      <c r="GI261" s="112"/>
      <c r="GJ261" s="116"/>
      <c r="GK261" s="119">
        <f t="shared" si="58"/>
        <v>14.44146724</v>
      </c>
      <c r="GL261" s="128">
        <f>1+((GK261-MIN(ratings_sums))*(4)/(MAX(ratings_sums) - MIN(ratings_sums)))</f>
        <v>3.223815539</v>
      </c>
    </row>
    <row r="262" ht="15.75" customHeight="1">
      <c r="A262" s="161" t="s">
        <v>1128</v>
      </c>
      <c r="B262" s="15">
        <v>1803730.0</v>
      </c>
      <c r="C262" s="162" t="s">
        <v>1646</v>
      </c>
      <c r="D262" s="163">
        <v>43892.47777777778</v>
      </c>
      <c r="E262" s="15" t="s">
        <v>381</v>
      </c>
      <c r="F262" s="164" t="s">
        <v>1647</v>
      </c>
      <c r="G262" s="164" t="s">
        <v>1648</v>
      </c>
      <c r="H262" s="210">
        <v>43889.0</v>
      </c>
      <c r="I262" s="162" t="s">
        <v>1649</v>
      </c>
      <c r="J262" s="162" t="s">
        <v>1646</v>
      </c>
      <c r="K262" s="15" t="s">
        <v>448</v>
      </c>
      <c r="L262" s="15" t="s">
        <v>390</v>
      </c>
      <c r="M262" s="15" t="s">
        <v>81</v>
      </c>
      <c r="N262" s="15" t="s">
        <v>101</v>
      </c>
      <c r="O262" s="15" t="s">
        <v>35</v>
      </c>
      <c r="Q262" s="15" t="s">
        <v>121</v>
      </c>
      <c r="R262" s="166"/>
      <c r="S262" s="120"/>
      <c r="T262" s="69">
        <v>6250010.0</v>
      </c>
      <c r="U262" s="69"/>
      <c r="V262" s="132"/>
      <c r="W262" s="96" t="str">
        <f t="shared" si="125"/>
        <v/>
      </c>
      <c r="X262" s="98">
        <f t="shared" si="126"/>
        <v>6250010</v>
      </c>
      <c r="Y262" s="99" t="str">
        <f t="shared" si="127"/>
        <v>$6M - $8M</v>
      </c>
      <c r="Z262" s="15" t="s">
        <v>36</v>
      </c>
      <c r="AA262" s="15" t="s">
        <v>123</v>
      </c>
      <c r="AB262" s="15" t="s">
        <v>38</v>
      </c>
      <c r="AC262" s="15" t="s">
        <v>493</v>
      </c>
      <c r="AD262" s="15" t="s">
        <v>89</v>
      </c>
      <c r="AE262" s="15" t="s">
        <v>89</v>
      </c>
      <c r="AF262" s="15" t="s">
        <v>469</v>
      </c>
      <c r="AG262" s="69">
        <v>1.041E11</v>
      </c>
      <c r="AH262" s="97" t="str">
        <f t="shared" si="128"/>
        <v>$100B-$250B</v>
      </c>
      <c r="AI262" s="69">
        <v>3.184E10</v>
      </c>
      <c r="AJ262" s="97" t="str">
        <f t="shared" si="129"/>
        <v>$25B-$50B</v>
      </c>
      <c r="AK262" s="167">
        <v>0.05</v>
      </c>
      <c r="AL262" s="88" t="str">
        <f t="shared" si="130"/>
        <v>0%-10%</v>
      </c>
      <c r="AM262" s="15">
        <v>11.0</v>
      </c>
      <c r="AN262" s="15" t="s">
        <v>89</v>
      </c>
      <c r="AO262" s="15" t="s">
        <v>89</v>
      </c>
      <c r="AP262" s="15" t="s">
        <v>40</v>
      </c>
      <c r="AQ262" s="168"/>
      <c r="AR262" s="168"/>
      <c r="AS262" s="15" t="s">
        <v>469</v>
      </c>
      <c r="AT262" s="15" t="s">
        <v>469</v>
      </c>
      <c r="AU262" s="15" t="s">
        <v>493</v>
      </c>
      <c r="AV262" s="15" t="s">
        <v>493</v>
      </c>
      <c r="AW262" s="69">
        <v>549924.0</v>
      </c>
      <c r="AX262" s="96" t="str">
        <f t="shared" si="131"/>
        <v>$500K - $1M</v>
      </c>
      <c r="AY262" s="69">
        <v>3786.0</v>
      </c>
      <c r="AZ262" s="69">
        <v>737283.0</v>
      </c>
      <c r="BA262" s="103" t="str">
        <f t="shared" si="132"/>
        <v>$500K - $1M</v>
      </c>
      <c r="BB262" s="103">
        <f t="shared" si="133"/>
        <v>0.005135070251</v>
      </c>
      <c r="BC262" s="103" t="str">
        <f t="shared" si="134"/>
        <v>&lt; 10%</v>
      </c>
      <c r="BD262" s="15" t="s">
        <v>107</v>
      </c>
      <c r="BF262" s="15" t="s">
        <v>493</v>
      </c>
      <c r="BG262" s="15">
        <v>16.0</v>
      </c>
      <c r="BH262" s="15">
        <v>1.0</v>
      </c>
      <c r="BI262" s="15" t="s">
        <v>493</v>
      </c>
      <c r="BJ262" s="15" t="s">
        <v>493</v>
      </c>
      <c r="BK262" s="15" t="s">
        <v>469</v>
      </c>
      <c r="BL262" s="15" t="s">
        <v>469</v>
      </c>
      <c r="BM262" s="15">
        <v>1.0</v>
      </c>
      <c r="BN262" s="15">
        <v>2.0</v>
      </c>
      <c r="BO262" s="15">
        <v>7.0</v>
      </c>
      <c r="BP262" s="15">
        <v>0.0</v>
      </c>
      <c r="BQ262" s="108"/>
      <c r="BR262" s="15">
        <v>7.0</v>
      </c>
      <c r="BS262" s="15">
        <v>0.0</v>
      </c>
      <c r="BT262" s="15">
        <v>0.0</v>
      </c>
      <c r="BU262" s="15">
        <v>57.0</v>
      </c>
      <c r="BV262" s="15" t="s">
        <v>469</v>
      </c>
      <c r="BW262" s="108"/>
      <c r="CC262" s="108"/>
      <c r="CI262" s="108"/>
      <c r="CO262" s="108"/>
      <c r="CU262" s="108"/>
      <c r="DA262" s="108"/>
      <c r="DG262" s="108"/>
      <c r="DM262" s="108"/>
      <c r="DS262" s="108"/>
      <c r="DT262" s="108"/>
      <c r="DU262" s="108"/>
      <c r="DW262" s="109"/>
      <c r="DX262" s="110">
        <f t="shared" si="13"/>
        <v>7</v>
      </c>
      <c r="DY262" s="111">
        <f t="shared" ref="DY262:DZ262" si="583">sum(BS262,BY262,CE262,CK262,CQ262,CW262,DC262,DI262,DO262)</f>
        <v>0</v>
      </c>
      <c r="DZ262" s="111">
        <f t="shared" si="583"/>
        <v>0</v>
      </c>
      <c r="EA262" s="110">
        <f t="shared" si="15"/>
        <v>57</v>
      </c>
      <c r="EB262" s="99" t="str">
        <f t="shared" si="16"/>
        <v>55+</v>
      </c>
      <c r="EC262" s="112"/>
      <c r="ED262" s="113">
        <f t="shared" si="17"/>
        <v>4.2</v>
      </c>
      <c r="EE262" s="114" t="str">
        <f>IF(V262 &lt;&gt; "", 1+((V262-MIN(discount_rates))*(4)/(MAX(discount_rates) - MIN(discount_rates))), "")</f>
        <v/>
      </c>
      <c r="EF262" s="114" t="str">
        <f>IF(Q262="Debt", (1+((S262-MIN(interest_rates))*(4)/(MAX(interest_rates) - MIN(interest_rates)))), "")</f>
        <v/>
      </c>
      <c r="EG262" s="114" t="str">
        <f>IF(OR(Q262="Revenue Share", Q262="Profit Share"), (1+((R262-MIN(return_mutiples))*(4)/(MAX(return_mutiples) - MIN(return_mutiples)))), "")</f>
        <v/>
      </c>
      <c r="EH262" s="115">
        <f t="shared" si="18"/>
        <v>4.2</v>
      </c>
      <c r="EI262" s="116" t="str">
        <f t="shared" si="19"/>
        <v>Equity - Common</v>
      </c>
      <c r="EJ262" s="117">
        <f t="shared" si="20"/>
        <v>0.3287671233</v>
      </c>
      <c r="EK262" s="116" t="str">
        <f t="shared" si="21"/>
        <v>Growth</v>
      </c>
      <c r="EL262" s="112"/>
      <c r="EM262" s="118">
        <f t="shared" si="22"/>
        <v>3.6</v>
      </c>
      <c r="EN262" s="118">
        <f t="shared" si="23"/>
        <v>1.7</v>
      </c>
      <c r="EO262" s="119">
        <f t="shared" si="24"/>
        <v>5.3</v>
      </c>
      <c r="EP262" s="115">
        <f>1+((EO262-MIN(market_ratings_sums))*(4)/(MAX(market_ratings_sums) - MIN(market_ratings_sums)))</f>
        <v>2.824561404</v>
      </c>
      <c r="EQ262" s="116" t="str">
        <f t="shared" si="25"/>
        <v>No</v>
      </c>
      <c r="ER262" s="112"/>
      <c r="ES262" s="123">
        <f>1+((DX262-MIN(industry_experiences))*(4)/(MAX(industry_experiences) - MIN(industry_experiences)))</f>
        <v>1.666666667</v>
      </c>
      <c r="ET262" s="123">
        <f>1+((DY262-MIN(previous_startups))*(4)/(MAX(previous_startups) - MIN(previous_startups)))</f>
        <v>1</v>
      </c>
      <c r="EU262" s="123">
        <f>1+((DZ262-MIN(exits))*(4)/(MAX(exits) - MIN(exits)))</f>
        <v>1</v>
      </c>
      <c r="EV262" s="119">
        <f t="shared" si="26"/>
        <v>3.666666667</v>
      </c>
      <c r="EW262" s="124">
        <f>1+((EV262-MIN(team_ratings_sums))*(4)/(MAX(team_ratings_sums) - MIN(team_ratings_sums)))</f>
        <v>1.365217391</v>
      </c>
      <c r="EX262" s="116" t="str">
        <f t="shared" si="27"/>
        <v>55+</v>
      </c>
      <c r="EY262" s="125">
        <f t="shared" si="28"/>
        <v>0.1095890411</v>
      </c>
      <c r="EZ262" s="116">
        <f t="shared" si="29"/>
        <v>1</v>
      </c>
      <c r="FA262" s="125">
        <f t="shared" si="30"/>
        <v>0.4383561644</v>
      </c>
      <c r="FB262" s="116">
        <f t="shared" si="31"/>
        <v>2</v>
      </c>
      <c r="FC262" s="125">
        <f t="shared" si="32"/>
        <v>0.1369863014</v>
      </c>
      <c r="FD262" s="116" t="str">
        <f t="shared" si="33"/>
        <v>Yes</v>
      </c>
      <c r="FE262" s="125">
        <f t="shared" si="34"/>
        <v>0.2465753425</v>
      </c>
      <c r="FF262" s="116" t="str">
        <f t="shared" ref="FF262:FH262" si="584">BJ262</f>
        <v>Yes</v>
      </c>
      <c r="FG262" s="116" t="str">
        <f t="shared" si="584"/>
        <v>No</v>
      </c>
      <c r="FH262" s="116" t="str">
        <f t="shared" si="584"/>
        <v>No</v>
      </c>
      <c r="FI262" s="112"/>
      <c r="FJ262" s="116" t="str">
        <f t="shared" si="36"/>
        <v>Transactional</v>
      </c>
      <c r="FK262" s="125">
        <f t="shared" si="37"/>
        <v>0.602739726</v>
      </c>
      <c r="FL262" s="116" t="str">
        <f t="shared" si="38"/>
        <v>B2B/B2C</v>
      </c>
      <c r="FM262" s="125">
        <f t="shared" si="39"/>
        <v>0.3287671233</v>
      </c>
      <c r="FN262" s="116" t="str">
        <f t="shared" si="40"/>
        <v>Low</v>
      </c>
      <c r="FO262" s="125">
        <f t="shared" si="41"/>
        <v>0.4383561644</v>
      </c>
      <c r="FP262" s="116" t="str">
        <f t="shared" si="42"/>
        <v>Low</v>
      </c>
      <c r="FQ262" s="125">
        <f t="shared" si="43"/>
        <v>0.3561643836</v>
      </c>
      <c r="FR262" s="112"/>
      <c r="FS262" s="123">
        <f t="shared" si="44"/>
        <v>5</v>
      </c>
      <c r="FT262" s="123">
        <f t="shared" si="45"/>
        <v>2.8</v>
      </c>
      <c r="FU262" s="123">
        <f t="shared" si="46"/>
        <v>5</v>
      </c>
      <c r="FV262" s="123">
        <f t="shared" si="47"/>
        <v>3.2</v>
      </c>
      <c r="FW262" s="119">
        <f t="shared" si="48"/>
        <v>16</v>
      </c>
      <c r="FX262" s="115">
        <f>1+((FW262-MIN(performance_ratings_sums))*(4)/(MAX(performance_ratings_sums) - MIN(performance_ratings_sums)))</f>
        <v>4.476635514</v>
      </c>
      <c r="FY262" s="116" t="str">
        <f t="shared" si="49"/>
        <v>Pre-Profit</v>
      </c>
      <c r="FZ262" s="126">
        <f t="shared" si="50"/>
        <v>0.4931506849</v>
      </c>
      <c r="GA262" s="112"/>
      <c r="GB262" s="127">
        <f t="shared" si="51"/>
        <v>1</v>
      </c>
      <c r="GC262" s="116" t="str">
        <f t="shared" si="52"/>
        <v>No</v>
      </c>
      <c r="GD262" s="126">
        <f t="shared" si="53"/>
        <v>0.7671232877</v>
      </c>
      <c r="GE262" s="126" t="str">
        <f t="shared" si="54"/>
        <v/>
      </c>
      <c r="GF262" s="126">
        <f t="shared" si="55"/>
        <v>0</v>
      </c>
      <c r="GG262" s="126" t="str">
        <f t="shared" si="56"/>
        <v/>
      </c>
      <c r="GH262" s="126">
        <f t="shared" si="57"/>
        <v>0</v>
      </c>
      <c r="GI262" s="112"/>
      <c r="GJ262" s="116"/>
      <c r="GK262" s="119">
        <f t="shared" si="58"/>
        <v>13.86641431</v>
      </c>
      <c r="GL262" s="128">
        <f>1+((GK262-MIN(ratings_sums))*(4)/(MAX(ratings_sums) - MIN(ratings_sums)))</f>
        <v>3.047366316</v>
      </c>
    </row>
    <row r="263" ht="15.75" customHeight="1">
      <c r="A263" s="161" t="s">
        <v>1128</v>
      </c>
      <c r="B263" s="15">
        <v>1804772.0</v>
      </c>
      <c r="C263" s="162" t="s">
        <v>1650</v>
      </c>
      <c r="D263" s="163">
        <v>43892.48055555556</v>
      </c>
      <c r="E263" s="15" t="s">
        <v>381</v>
      </c>
      <c r="F263" s="164" t="s">
        <v>1651</v>
      </c>
      <c r="G263" s="164" t="s">
        <v>1652</v>
      </c>
      <c r="H263" s="210">
        <v>43889.0</v>
      </c>
      <c r="I263" s="162" t="s">
        <v>1653</v>
      </c>
      <c r="J263" s="162" t="s">
        <v>1650</v>
      </c>
      <c r="K263" s="15" t="s">
        <v>422</v>
      </c>
      <c r="L263" s="15" t="s">
        <v>390</v>
      </c>
      <c r="M263" s="15" t="s">
        <v>81</v>
      </c>
      <c r="N263" s="15" t="s">
        <v>82</v>
      </c>
      <c r="O263" s="15" t="s">
        <v>35</v>
      </c>
      <c r="Q263" s="15" t="s">
        <v>121</v>
      </c>
      <c r="R263" s="166"/>
      <c r="S263" s="120"/>
      <c r="T263" s="69">
        <v>2500000.0</v>
      </c>
      <c r="U263" s="69"/>
      <c r="V263" s="132"/>
      <c r="W263" s="96" t="str">
        <f t="shared" si="125"/>
        <v/>
      </c>
      <c r="X263" s="98">
        <f t="shared" si="126"/>
        <v>2500000</v>
      </c>
      <c r="Y263" s="99" t="str">
        <f t="shared" si="127"/>
        <v>$2M - $4M</v>
      </c>
      <c r="Z263" s="15" t="s">
        <v>36</v>
      </c>
      <c r="AA263" s="15" t="s">
        <v>123</v>
      </c>
      <c r="AB263" s="15" t="s">
        <v>38</v>
      </c>
      <c r="AC263" s="15" t="s">
        <v>493</v>
      </c>
      <c r="AD263" s="15" t="s">
        <v>89</v>
      </c>
      <c r="AE263" s="15" t="s">
        <v>89</v>
      </c>
      <c r="AF263" s="15" t="s">
        <v>469</v>
      </c>
      <c r="AG263" s="69">
        <v>2.3651E11</v>
      </c>
      <c r="AH263" s="97" t="str">
        <f t="shared" si="128"/>
        <v>$100B-$250B</v>
      </c>
      <c r="AI263" s="69">
        <v>2.3651E11</v>
      </c>
      <c r="AJ263" s="97" t="str">
        <f t="shared" si="129"/>
        <v>$100B-$250B</v>
      </c>
      <c r="AK263" s="167">
        <v>0.03</v>
      </c>
      <c r="AL263" s="88" t="str">
        <f t="shared" si="130"/>
        <v>0%-10%</v>
      </c>
      <c r="AM263" s="15">
        <v>6.0</v>
      </c>
      <c r="AN263" s="15" t="s">
        <v>39</v>
      </c>
      <c r="AO263" s="15" t="s">
        <v>89</v>
      </c>
      <c r="AP263" s="15" t="s">
        <v>40</v>
      </c>
      <c r="AQ263" s="168"/>
      <c r="AR263" s="168"/>
      <c r="AS263" s="15" t="s">
        <v>469</v>
      </c>
      <c r="AT263" s="15" t="s">
        <v>493</v>
      </c>
      <c r="AU263" s="15" t="s">
        <v>493</v>
      </c>
      <c r="AV263" s="15" t="s">
        <v>493</v>
      </c>
      <c r="AW263" s="69">
        <v>413527.0</v>
      </c>
      <c r="AX263" s="96" t="str">
        <f t="shared" si="131"/>
        <v>$100K - $500K</v>
      </c>
      <c r="AY263" s="69">
        <v>2378.0</v>
      </c>
      <c r="AZ263" s="69">
        <v>118736.0</v>
      </c>
      <c r="BA263" s="103" t="str">
        <f t="shared" si="132"/>
        <v>$100K - $500K</v>
      </c>
      <c r="BB263" s="103">
        <f t="shared" si="133"/>
        <v>0.02002762431</v>
      </c>
      <c r="BC263" s="103" t="str">
        <f t="shared" si="134"/>
        <v>&lt; 10%</v>
      </c>
      <c r="BD263" s="15" t="s">
        <v>124</v>
      </c>
      <c r="BF263" s="15" t="s">
        <v>493</v>
      </c>
      <c r="BG263" s="15">
        <v>0.0</v>
      </c>
      <c r="BH263" s="15">
        <v>1.0</v>
      </c>
      <c r="BI263" s="15" t="s">
        <v>469</v>
      </c>
      <c r="BJ263" s="15" t="s">
        <v>493</v>
      </c>
      <c r="BK263" s="15" t="s">
        <v>469</v>
      </c>
      <c r="BL263" s="15" t="s">
        <v>469</v>
      </c>
      <c r="BM263" s="15">
        <v>0.0</v>
      </c>
      <c r="BN263" s="15">
        <v>3.0</v>
      </c>
      <c r="BO263" s="15">
        <v>1.0</v>
      </c>
      <c r="BP263" s="15">
        <v>0.0</v>
      </c>
      <c r="BQ263" s="108"/>
      <c r="BR263" s="15">
        <v>0.0</v>
      </c>
      <c r="BS263" s="15">
        <v>0.0</v>
      </c>
      <c r="BT263" s="15">
        <v>0.0</v>
      </c>
      <c r="BU263" s="15">
        <v>42.0</v>
      </c>
      <c r="BV263" s="15" t="s">
        <v>469</v>
      </c>
      <c r="BW263" s="108"/>
      <c r="CC263" s="108"/>
      <c r="CI263" s="108"/>
      <c r="CO263" s="108"/>
      <c r="CU263" s="108"/>
      <c r="DA263" s="108"/>
      <c r="DG263" s="108"/>
      <c r="DM263" s="108"/>
      <c r="DS263" s="108"/>
      <c r="DT263" s="108"/>
      <c r="DU263" s="108"/>
      <c r="DW263" s="109"/>
      <c r="DX263" s="110">
        <f t="shared" si="13"/>
        <v>0</v>
      </c>
      <c r="DY263" s="111">
        <f t="shared" ref="DY263:DZ263" si="585">sum(BS263,BY263,CE263,CK263,CQ263,CW263,DC263,DI263,DO263)</f>
        <v>0</v>
      </c>
      <c r="DZ263" s="111">
        <f t="shared" si="585"/>
        <v>0</v>
      </c>
      <c r="EA263" s="110">
        <f t="shared" si="15"/>
        <v>42</v>
      </c>
      <c r="EB263" s="99" t="str">
        <f t="shared" si="16"/>
        <v>35 - 54</v>
      </c>
      <c r="EC263" s="112"/>
      <c r="ED263" s="113">
        <f t="shared" si="17"/>
        <v>4.6</v>
      </c>
      <c r="EE263" s="114" t="str">
        <f>IF(V263 &lt;&gt; "", 1+((V263-MIN(discount_rates))*(4)/(MAX(discount_rates) - MIN(discount_rates))), "")</f>
        <v/>
      </c>
      <c r="EF263" s="114" t="str">
        <f>IF(Q263="Debt", (1+((S263-MIN(interest_rates))*(4)/(MAX(interest_rates) - MIN(interest_rates)))), "")</f>
        <v/>
      </c>
      <c r="EG263" s="114" t="str">
        <f>IF(OR(Q263="Revenue Share", Q263="Profit Share"), (1+((R263-MIN(return_mutiples))*(4)/(MAX(return_mutiples) - MIN(return_mutiples)))), "")</f>
        <v/>
      </c>
      <c r="EH263" s="115">
        <f t="shared" si="18"/>
        <v>4.6</v>
      </c>
      <c r="EI263" s="116" t="str">
        <f t="shared" si="19"/>
        <v>Equity - Common</v>
      </c>
      <c r="EJ263" s="117">
        <f t="shared" si="20"/>
        <v>0.3287671233</v>
      </c>
      <c r="EK263" s="116" t="str">
        <f t="shared" si="21"/>
        <v>Growth</v>
      </c>
      <c r="EL263" s="112"/>
      <c r="EM263" s="118">
        <f t="shared" si="22"/>
        <v>4.1</v>
      </c>
      <c r="EN263" s="118">
        <f t="shared" si="23"/>
        <v>1.7</v>
      </c>
      <c r="EO263" s="119">
        <f t="shared" si="24"/>
        <v>5.8</v>
      </c>
      <c r="EP263" s="115">
        <f>1+((EO263-MIN(market_ratings_sums))*(4)/(MAX(market_ratings_sums) - MIN(market_ratings_sums)))</f>
        <v>3.175438596</v>
      </c>
      <c r="EQ263" s="116" t="str">
        <f t="shared" si="25"/>
        <v>No</v>
      </c>
      <c r="ER263" s="112"/>
      <c r="ES263" s="123">
        <f>1+((DX263-MIN(industry_experiences))*(4)/(MAX(industry_experiences) - MIN(industry_experiences)))</f>
        <v>1</v>
      </c>
      <c r="ET263" s="123">
        <f>1+((DY263-MIN(previous_startups))*(4)/(MAX(previous_startups) - MIN(previous_startups)))</f>
        <v>1</v>
      </c>
      <c r="EU263" s="123">
        <f>1+((DZ263-MIN(exits))*(4)/(MAX(exits) - MIN(exits)))</f>
        <v>1</v>
      </c>
      <c r="EV263" s="119">
        <f t="shared" si="26"/>
        <v>3</v>
      </c>
      <c r="EW263" s="124">
        <f>1+((EV263-MIN(team_ratings_sums))*(4)/(MAX(team_ratings_sums) - MIN(team_ratings_sums)))</f>
        <v>1</v>
      </c>
      <c r="EX263" s="116" t="str">
        <f t="shared" si="27"/>
        <v>35 - 54</v>
      </c>
      <c r="EY263" s="125">
        <f t="shared" si="28"/>
        <v>0.6849315068</v>
      </c>
      <c r="EZ263" s="116">
        <f t="shared" si="29"/>
        <v>1</v>
      </c>
      <c r="FA263" s="125">
        <f t="shared" si="30"/>
        <v>0.4383561644</v>
      </c>
      <c r="FB263" s="116">
        <f t="shared" si="31"/>
        <v>3</v>
      </c>
      <c r="FC263" s="125">
        <f t="shared" si="32"/>
        <v>0.08219178082</v>
      </c>
      <c r="FD263" s="116" t="str">
        <f t="shared" si="33"/>
        <v>No</v>
      </c>
      <c r="FE263" s="125">
        <f t="shared" si="34"/>
        <v>0.7534246575</v>
      </c>
      <c r="FF263" s="116" t="str">
        <f t="shared" ref="FF263:FH263" si="586">BJ263</f>
        <v>Yes</v>
      </c>
      <c r="FG263" s="116" t="str">
        <f t="shared" si="586"/>
        <v>No</v>
      </c>
      <c r="FH263" s="116" t="str">
        <f t="shared" si="586"/>
        <v>No</v>
      </c>
      <c r="FI263" s="112"/>
      <c r="FJ263" s="116" t="str">
        <f t="shared" si="36"/>
        <v>Transactional</v>
      </c>
      <c r="FK263" s="125">
        <f t="shared" si="37"/>
        <v>0.602739726</v>
      </c>
      <c r="FL263" s="116" t="str">
        <f t="shared" si="38"/>
        <v>B2B/B2C</v>
      </c>
      <c r="FM263" s="125">
        <f t="shared" si="39"/>
        <v>0.3287671233</v>
      </c>
      <c r="FN263" s="116" t="str">
        <f t="shared" si="40"/>
        <v>Low</v>
      </c>
      <c r="FO263" s="125">
        <f t="shared" si="41"/>
        <v>0.4383561644</v>
      </c>
      <c r="FP263" s="116" t="str">
        <f t="shared" si="42"/>
        <v>Low</v>
      </c>
      <c r="FQ263" s="125">
        <f t="shared" si="43"/>
        <v>0.3561643836</v>
      </c>
      <c r="FR263" s="112"/>
      <c r="FS263" s="123">
        <f t="shared" si="44"/>
        <v>5</v>
      </c>
      <c r="FT263" s="123">
        <f t="shared" si="45"/>
        <v>2.3</v>
      </c>
      <c r="FU263" s="123">
        <f t="shared" si="46"/>
        <v>5</v>
      </c>
      <c r="FV263" s="123">
        <f t="shared" si="47"/>
        <v>3.7</v>
      </c>
      <c r="FW263" s="119">
        <f t="shared" si="48"/>
        <v>16</v>
      </c>
      <c r="FX263" s="115">
        <f>1+((FW263-MIN(performance_ratings_sums))*(4)/(MAX(performance_ratings_sums) - MIN(performance_ratings_sums)))</f>
        <v>4.476635514</v>
      </c>
      <c r="FY263" s="116" t="str">
        <f t="shared" si="49"/>
        <v>Profitable</v>
      </c>
      <c r="FZ263" s="126">
        <f t="shared" si="50"/>
        <v>0.06849315068</v>
      </c>
      <c r="GA263" s="112"/>
      <c r="GB263" s="127">
        <f t="shared" si="51"/>
        <v>3</v>
      </c>
      <c r="GC263" s="116" t="str">
        <f t="shared" si="52"/>
        <v>Yes</v>
      </c>
      <c r="GD263" s="126">
        <f t="shared" si="53"/>
        <v>0.2328767123</v>
      </c>
      <c r="GE263" s="126" t="str">
        <f t="shared" si="54"/>
        <v/>
      </c>
      <c r="GF263" s="126">
        <f t="shared" si="55"/>
        <v>0</v>
      </c>
      <c r="GG263" s="126" t="str">
        <f t="shared" si="56"/>
        <v/>
      </c>
      <c r="GH263" s="126">
        <f t="shared" si="57"/>
        <v>0</v>
      </c>
      <c r="GI263" s="112"/>
      <c r="GJ263" s="116"/>
      <c r="GK263" s="119">
        <f t="shared" si="58"/>
        <v>16.25207411</v>
      </c>
      <c r="GL263" s="128">
        <f>1+((GK263-MIN(ratings_sums))*(4)/(MAX(ratings_sums) - MIN(ratings_sums)))</f>
        <v>3.779382092</v>
      </c>
    </row>
    <row r="264" ht="15.75" customHeight="1">
      <c r="A264" s="161" t="s">
        <v>1128</v>
      </c>
      <c r="B264" s="15">
        <v>1800827.0</v>
      </c>
      <c r="C264" s="162" t="s">
        <v>1654</v>
      </c>
      <c r="D264" s="209">
        <v>43892.493055555555</v>
      </c>
      <c r="E264" s="15" t="s">
        <v>392</v>
      </c>
      <c r="F264" s="164" t="s">
        <v>1655</v>
      </c>
      <c r="G264" s="164" t="s">
        <v>1656</v>
      </c>
      <c r="H264" s="210">
        <v>43858.0</v>
      </c>
      <c r="I264" s="162" t="s">
        <v>1657</v>
      </c>
      <c r="J264" s="162" t="s">
        <v>1654</v>
      </c>
      <c r="K264" s="15" t="s">
        <v>153</v>
      </c>
      <c r="L264" s="15" t="s">
        <v>390</v>
      </c>
      <c r="M264" s="15" t="s">
        <v>81</v>
      </c>
      <c r="N264" s="15" t="s">
        <v>82</v>
      </c>
      <c r="O264" s="15" t="s">
        <v>35</v>
      </c>
      <c r="Q264" s="15" t="s">
        <v>195</v>
      </c>
      <c r="R264" s="166"/>
      <c r="S264" s="120"/>
      <c r="T264" s="69"/>
      <c r="U264" s="69">
        <v>4000000.0</v>
      </c>
      <c r="V264" s="132">
        <v>0.25</v>
      </c>
      <c r="W264" s="96">
        <f t="shared" si="125"/>
        <v>3000000</v>
      </c>
      <c r="X264" s="98">
        <f t="shared" si="126"/>
        <v>3000000</v>
      </c>
      <c r="Y264" s="99" t="str">
        <f t="shared" si="127"/>
        <v>$2M - $4M</v>
      </c>
      <c r="Z264" s="15" t="s">
        <v>36</v>
      </c>
      <c r="AA264" s="15" t="s">
        <v>123</v>
      </c>
      <c r="AB264" s="15" t="s">
        <v>38</v>
      </c>
      <c r="AC264" s="15" t="s">
        <v>493</v>
      </c>
      <c r="AD264" s="15" t="s">
        <v>39</v>
      </c>
      <c r="AE264" s="15" t="s">
        <v>89</v>
      </c>
      <c r="AF264" s="15" t="s">
        <v>493</v>
      </c>
      <c r="AG264" s="69">
        <v>2.237E11</v>
      </c>
      <c r="AH264" s="97" t="str">
        <f t="shared" si="128"/>
        <v>$100B-$250B</v>
      </c>
      <c r="AI264" s="69">
        <v>2.237E11</v>
      </c>
      <c r="AJ264" s="97" t="str">
        <f t="shared" si="129"/>
        <v>$100B-$250B</v>
      </c>
      <c r="AK264" s="167">
        <v>0.04</v>
      </c>
      <c r="AL264" s="88" t="str">
        <f t="shared" si="130"/>
        <v>0%-10%</v>
      </c>
      <c r="AM264" s="15">
        <v>200.0</v>
      </c>
      <c r="AN264" s="15" t="s">
        <v>39</v>
      </c>
      <c r="AO264" s="15" t="s">
        <v>89</v>
      </c>
      <c r="AP264" s="15" t="s">
        <v>90</v>
      </c>
      <c r="AQ264" s="168"/>
      <c r="AR264" s="168"/>
      <c r="AS264" s="15" t="s">
        <v>469</v>
      </c>
      <c r="AT264" s="15" t="s">
        <v>469</v>
      </c>
      <c r="AU264" s="15" t="s">
        <v>493</v>
      </c>
      <c r="AV264" s="15" t="s">
        <v>493</v>
      </c>
      <c r="AW264" s="69">
        <v>129750.0</v>
      </c>
      <c r="AX264" s="96" t="str">
        <f t="shared" si="131"/>
        <v>$100K - $500K</v>
      </c>
      <c r="AY264" s="69">
        <v>4746.0</v>
      </c>
      <c r="AZ264" s="69">
        <v>140294.0</v>
      </c>
      <c r="BA264" s="103" t="str">
        <f t="shared" si="132"/>
        <v>$100K - $500K</v>
      </c>
      <c r="BB264" s="103">
        <f t="shared" si="133"/>
        <v>0.03382895919</v>
      </c>
      <c r="BC264" s="103" t="str">
        <f t="shared" si="134"/>
        <v>&lt; 10%</v>
      </c>
      <c r="BD264" s="15" t="s">
        <v>107</v>
      </c>
      <c r="BF264" s="15" t="s">
        <v>469</v>
      </c>
      <c r="BG264" s="15">
        <v>0.0</v>
      </c>
      <c r="BH264" s="15">
        <v>2.0</v>
      </c>
      <c r="BI264" s="15" t="s">
        <v>493</v>
      </c>
      <c r="BJ264" s="15" t="s">
        <v>493</v>
      </c>
      <c r="BK264" s="15" t="s">
        <v>493</v>
      </c>
      <c r="BL264" s="15" t="s">
        <v>469</v>
      </c>
      <c r="BM264" s="15">
        <v>5.0</v>
      </c>
      <c r="BN264" s="15">
        <v>3.0</v>
      </c>
      <c r="BO264" s="15">
        <v>0.0</v>
      </c>
      <c r="BP264" s="15">
        <v>0.0</v>
      </c>
      <c r="BQ264" s="108"/>
      <c r="BR264" s="15">
        <v>4.0</v>
      </c>
      <c r="BS264" s="15">
        <v>0.0</v>
      </c>
      <c r="BT264" s="15">
        <v>0.0</v>
      </c>
      <c r="BU264" s="15">
        <v>38.0</v>
      </c>
      <c r="BV264" s="15" t="s">
        <v>493</v>
      </c>
      <c r="BW264" s="108"/>
      <c r="BX264" s="15">
        <v>4.0</v>
      </c>
      <c r="BY264" s="15">
        <v>0.0</v>
      </c>
      <c r="BZ264" s="15">
        <v>0.0</v>
      </c>
      <c r="CA264" s="15">
        <v>39.0</v>
      </c>
      <c r="CB264" s="15" t="s">
        <v>469</v>
      </c>
      <c r="CC264" s="108"/>
      <c r="CI264" s="108"/>
      <c r="CO264" s="108"/>
      <c r="CU264" s="108"/>
      <c r="DA264" s="108"/>
      <c r="DG264" s="108"/>
      <c r="DM264" s="108"/>
      <c r="DS264" s="108"/>
      <c r="DT264" s="108"/>
      <c r="DU264" s="108"/>
      <c r="DW264" s="109"/>
      <c r="DX264" s="110">
        <f t="shared" si="13"/>
        <v>4</v>
      </c>
      <c r="DY264" s="111">
        <f t="shared" ref="DY264:DZ264" si="587">sum(BS264,BY264,CE264,CK264,CQ264,CW264,DC264,DI264,DO264)</f>
        <v>0</v>
      </c>
      <c r="DZ264" s="111">
        <f t="shared" si="587"/>
        <v>0</v>
      </c>
      <c r="EA264" s="110">
        <f t="shared" si="15"/>
        <v>38.5</v>
      </c>
      <c r="EB264" s="99" t="str">
        <f t="shared" si="16"/>
        <v>35 - 54</v>
      </c>
      <c r="EC264" s="112"/>
      <c r="ED264" s="113">
        <f t="shared" si="17"/>
        <v>4.6</v>
      </c>
      <c r="EE264" s="114">
        <f>IF(V264 &lt;&gt; "", 1+((V264-MIN(discount_rates))*(4)/(MAX(discount_rates) - MIN(discount_rates))), "")</f>
        <v>3.631578947</v>
      </c>
      <c r="EF264" s="114" t="str">
        <f>IF(Q264="Debt", (1+((S264-MIN(interest_rates))*(4)/(MAX(interest_rates) - MIN(interest_rates)))), "")</f>
        <v/>
      </c>
      <c r="EG264" s="114" t="str">
        <f>IF(OR(Q264="Revenue Share", Q264="Profit Share"), (1+((R264-MIN(return_mutiples))*(4)/(MAX(return_mutiples) - MIN(return_mutiples)))), "")</f>
        <v/>
      </c>
      <c r="EH264" s="115">
        <f t="shared" si="18"/>
        <v>4.6</v>
      </c>
      <c r="EI264" s="116" t="str">
        <f t="shared" si="19"/>
        <v>SAFE</v>
      </c>
      <c r="EJ264" s="117">
        <f t="shared" si="20"/>
        <v>0.3561643836</v>
      </c>
      <c r="EK264" s="116" t="str">
        <f t="shared" si="21"/>
        <v>Growth</v>
      </c>
      <c r="EL264" s="112"/>
      <c r="EM264" s="118">
        <f t="shared" si="22"/>
        <v>4.1</v>
      </c>
      <c r="EN264" s="118">
        <f t="shared" si="23"/>
        <v>1.7</v>
      </c>
      <c r="EO264" s="119">
        <f t="shared" si="24"/>
        <v>5.8</v>
      </c>
      <c r="EP264" s="115">
        <f>1+((EO264-MIN(market_ratings_sums))*(4)/(MAX(market_ratings_sums) - MIN(market_ratings_sums)))</f>
        <v>3.175438596</v>
      </c>
      <c r="EQ264" s="116" t="str">
        <f t="shared" si="25"/>
        <v>No</v>
      </c>
      <c r="ER264" s="112"/>
      <c r="ES264" s="123">
        <f>1+((DX264-MIN(industry_experiences))*(4)/(MAX(industry_experiences) - MIN(industry_experiences)))</f>
        <v>1.380952381</v>
      </c>
      <c r="ET264" s="123">
        <f>1+((DY264-MIN(previous_startups))*(4)/(MAX(previous_startups) - MIN(previous_startups)))</f>
        <v>1</v>
      </c>
      <c r="EU264" s="123">
        <f>1+((DZ264-MIN(exits))*(4)/(MAX(exits) - MIN(exits)))</f>
        <v>1</v>
      </c>
      <c r="EV264" s="119">
        <f t="shared" si="26"/>
        <v>3.380952381</v>
      </c>
      <c r="EW264" s="124">
        <f>1+((EV264-MIN(team_ratings_sums))*(4)/(MAX(team_ratings_sums) - MIN(team_ratings_sums)))</f>
        <v>1.208695652</v>
      </c>
      <c r="EX264" s="116" t="str">
        <f t="shared" si="27"/>
        <v>35 - 54</v>
      </c>
      <c r="EY264" s="125">
        <f t="shared" si="28"/>
        <v>0.6849315068</v>
      </c>
      <c r="EZ264" s="116">
        <f t="shared" si="29"/>
        <v>2</v>
      </c>
      <c r="FA264" s="125">
        <f t="shared" si="30"/>
        <v>0.4520547945</v>
      </c>
      <c r="FB264" s="116">
        <f t="shared" si="31"/>
        <v>3</v>
      </c>
      <c r="FC264" s="125">
        <f t="shared" si="32"/>
        <v>0.08219178082</v>
      </c>
      <c r="FD264" s="116" t="str">
        <f t="shared" si="33"/>
        <v>Yes</v>
      </c>
      <c r="FE264" s="125">
        <f t="shared" si="34"/>
        <v>0.2465753425</v>
      </c>
      <c r="FF264" s="116" t="str">
        <f t="shared" ref="FF264:FH264" si="588">BJ264</f>
        <v>Yes</v>
      </c>
      <c r="FG264" s="116" t="str">
        <f t="shared" si="588"/>
        <v>Yes</v>
      </c>
      <c r="FH264" s="116" t="str">
        <f t="shared" si="588"/>
        <v>No</v>
      </c>
      <c r="FI264" s="112"/>
      <c r="FJ264" s="116" t="str">
        <f t="shared" si="36"/>
        <v>Transactional</v>
      </c>
      <c r="FK264" s="125">
        <f t="shared" si="37"/>
        <v>0.602739726</v>
      </c>
      <c r="FL264" s="116" t="str">
        <f t="shared" si="38"/>
        <v>B2B/B2C</v>
      </c>
      <c r="FM264" s="125">
        <f t="shared" si="39"/>
        <v>0.3287671233</v>
      </c>
      <c r="FN264" s="116" t="str">
        <f t="shared" si="40"/>
        <v>High</v>
      </c>
      <c r="FO264" s="125">
        <f t="shared" si="41"/>
        <v>0.5616438356</v>
      </c>
      <c r="FP264" s="116" t="str">
        <f t="shared" si="42"/>
        <v>Low</v>
      </c>
      <c r="FQ264" s="125">
        <f t="shared" si="43"/>
        <v>0.3561643836</v>
      </c>
      <c r="FR264" s="112"/>
      <c r="FS264" s="123">
        <f t="shared" si="44"/>
        <v>5</v>
      </c>
      <c r="FT264" s="123">
        <f t="shared" si="45"/>
        <v>2.3</v>
      </c>
      <c r="FU264" s="123">
        <f t="shared" si="46"/>
        <v>5</v>
      </c>
      <c r="FV264" s="123">
        <f t="shared" si="47"/>
        <v>3.7</v>
      </c>
      <c r="FW264" s="119">
        <f t="shared" si="48"/>
        <v>16</v>
      </c>
      <c r="FX264" s="115">
        <f>1+((FW264-MIN(performance_ratings_sums))*(4)/(MAX(performance_ratings_sums) - MIN(performance_ratings_sums)))</f>
        <v>4.476635514</v>
      </c>
      <c r="FY264" s="116" t="str">
        <f t="shared" si="49"/>
        <v>Pre-Profit</v>
      </c>
      <c r="FZ264" s="126">
        <f t="shared" si="50"/>
        <v>0.4931506849</v>
      </c>
      <c r="GA264" s="112"/>
      <c r="GB264" s="127">
        <f t="shared" si="51"/>
        <v>3</v>
      </c>
      <c r="GC264" s="116" t="str">
        <f t="shared" si="52"/>
        <v>No</v>
      </c>
      <c r="GD264" s="126">
        <f t="shared" si="53"/>
        <v>0.7671232877</v>
      </c>
      <c r="GE264" s="126" t="str">
        <f t="shared" si="54"/>
        <v/>
      </c>
      <c r="GF264" s="126">
        <f t="shared" si="55"/>
        <v>0</v>
      </c>
      <c r="GG264" s="126" t="str">
        <f t="shared" si="56"/>
        <v/>
      </c>
      <c r="GH264" s="126">
        <f t="shared" si="57"/>
        <v>0</v>
      </c>
      <c r="GI264" s="112"/>
      <c r="GJ264" s="116"/>
      <c r="GK264" s="119">
        <f t="shared" si="58"/>
        <v>16.46076976</v>
      </c>
      <c r="GL264" s="128">
        <f>1+((GK264-MIN(ratings_sums))*(4)/(MAX(ratings_sums) - MIN(ratings_sums)))</f>
        <v>3.843418259</v>
      </c>
    </row>
    <row r="265" ht="15.75" customHeight="1">
      <c r="A265" s="161" t="s">
        <v>1128</v>
      </c>
      <c r="B265" s="15">
        <v>1741462.0</v>
      </c>
      <c r="C265" s="162" t="s">
        <v>1658</v>
      </c>
      <c r="D265" s="209">
        <v>43832.56319444445</v>
      </c>
      <c r="E265" s="15" t="s">
        <v>343</v>
      </c>
      <c r="F265" s="164" t="s">
        <v>1659</v>
      </c>
      <c r="G265" s="164" t="s">
        <v>1660</v>
      </c>
      <c r="H265" s="210">
        <v>43832.0</v>
      </c>
      <c r="I265" s="162" t="s">
        <v>1661</v>
      </c>
      <c r="J265" s="162" t="s">
        <v>1658</v>
      </c>
      <c r="K265" s="15" t="s">
        <v>430</v>
      </c>
      <c r="L265" s="15" t="s">
        <v>193</v>
      </c>
      <c r="M265" s="15" t="s">
        <v>81</v>
      </c>
      <c r="O265" s="15" t="s">
        <v>35</v>
      </c>
      <c r="Q265" s="15" t="s">
        <v>121</v>
      </c>
      <c r="R265" s="166"/>
      <c r="S265" s="120"/>
      <c r="T265" s="69">
        <v>8600000.0</v>
      </c>
      <c r="U265" s="69"/>
      <c r="V265" s="132"/>
      <c r="W265" s="96" t="str">
        <f t="shared" si="125"/>
        <v/>
      </c>
      <c r="X265" s="98">
        <f t="shared" si="126"/>
        <v>8600000</v>
      </c>
      <c r="Y265" s="99" t="str">
        <f t="shared" si="127"/>
        <v>$8M - $10M</v>
      </c>
      <c r="Z265" s="15" t="s">
        <v>36</v>
      </c>
      <c r="AA265" s="15" t="s">
        <v>123</v>
      </c>
      <c r="AB265" s="15" t="s">
        <v>38</v>
      </c>
      <c r="AC265" s="15" t="s">
        <v>493</v>
      </c>
      <c r="AD265" s="15" t="s">
        <v>39</v>
      </c>
      <c r="AE265" s="15" t="s">
        <v>89</v>
      </c>
      <c r="AF265" s="15" t="s">
        <v>469</v>
      </c>
      <c r="AG265" s="69">
        <v>2.3E9</v>
      </c>
      <c r="AH265" s="97" t="str">
        <f t="shared" si="128"/>
        <v>$1B-$5B</v>
      </c>
      <c r="AI265" s="69">
        <v>2.3E9</v>
      </c>
      <c r="AJ265" s="97" t="str">
        <f t="shared" si="129"/>
        <v>$1B-$5B</v>
      </c>
      <c r="AK265" s="167">
        <v>0.06</v>
      </c>
      <c r="AL265" s="88" t="str">
        <f t="shared" si="130"/>
        <v>0%-10%</v>
      </c>
      <c r="AM265" s="15">
        <v>16.0</v>
      </c>
      <c r="AN265" s="15" t="s">
        <v>89</v>
      </c>
      <c r="AO265" s="15" t="s">
        <v>89</v>
      </c>
      <c r="AP265" s="15" t="s">
        <v>40</v>
      </c>
      <c r="AQ265" s="168"/>
      <c r="AR265" s="168"/>
      <c r="AS265" s="15" t="s">
        <v>493</v>
      </c>
      <c r="AT265" s="15" t="s">
        <v>493</v>
      </c>
      <c r="AU265" s="15" t="s">
        <v>493</v>
      </c>
      <c r="AV265" s="15" t="s">
        <v>493</v>
      </c>
      <c r="AW265" s="69">
        <v>287969.0</v>
      </c>
      <c r="AX265" s="96" t="str">
        <f t="shared" si="131"/>
        <v>$100K - $500K</v>
      </c>
      <c r="AY265" s="69">
        <v>21796.0</v>
      </c>
      <c r="AZ265" s="69">
        <v>0.0</v>
      </c>
      <c r="BA265" s="103" t="str">
        <f t="shared" si="132"/>
        <v>&lt; $10K</v>
      </c>
      <c r="BB265" s="103">
        <f t="shared" si="133"/>
        <v>1</v>
      </c>
      <c r="BC265" s="103" t="str">
        <f t="shared" si="134"/>
        <v>90% - 100%</v>
      </c>
      <c r="BD265" s="15" t="s">
        <v>107</v>
      </c>
      <c r="BF265" s="15" t="s">
        <v>493</v>
      </c>
      <c r="BG265" s="15">
        <v>0.0</v>
      </c>
      <c r="BH265" s="15">
        <v>1.0</v>
      </c>
      <c r="BI265" s="15" t="s">
        <v>493</v>
      </c>
      <c r="BJ265" s="15" t="s">
        <v>469</v>
      </c>
      <c r="BK265" s="15" t="s">
        <v>469</v>
      </c>
      <c r="BL265" s="15" t="s">
        <v>469</v>
      </c>
      <c r="BM265" s="15">
        <v>2.0</v>
      </c>
      <c r="BN265" s="15">
        <v>10.0</v>
      </c>
      <c r="BO265" s="15">
        <v>0.0</v>
      </c>
      <c r="BP265" s="15">
        <v>0.0</v>
      </c>
      <c r="BQ265" s="108"/>
      <c r="BR265" s="15">
        <v>7.0</v>
      </c>
      <c r="BS265" s="15">
        <v>5.0</v>
      </c>
      <c r="BT265" s="15">
        <v>1.0</v>
      </c>
      <c r="BU265" s="15">
        <v>51.0</v>
      </c>
      <c r="BV265" s="15" t="s">
        <v>469</v>
      </c>
      <c r="BW265" s="108"/>
      <c r="CC265" s="108"/>
      <c r="CI265" s="108"/>
      <c r="CO265" s="108"/>
      <c r="CU265" s="108"/>
      <c r="DA265" s="108"/>
      <c r="DG265" s="108"/>
      <c r="DM265" s="108"/>
      <c r="DS265" s="108"/>
      <c r="DT265" s="108"/>
      <c r="DU265" s="108"/>
      <c r="DW265" s="109"/>
      <c r="DX265" s="110">
        <f t="shared" si="13"/>
        <v>7</v>
      </c>
      <c r="DY265" s="111">
        <f t="shared" ref="DY265:DZ265" si="589">sum(BS265,BY265,CE265,CK265,CQ265,CW265,DC265,DI265,DO265)</f>
        <v>5</v>
      </c>
      <c r="DZ265" s="111">
        <f t="shared" si="589"/>
        <v>1</v>
      </c>
      <c r="EA265" s="110">
        <f t="shared" si="15"/>
        <v>51</v>
      </c>
      <c r="EB265" s="99" t="str">
        <f t="shared" si="16"/>
        <v>35 - 54</v>
      </c>
      <c r="EC265" s="112"/>
      <c r="ED265" s="113">
        <f t="shared" si="17"/>
        <v>4</v>
      </c>
      <c r="EE265" s="114" t="str">
        <f>IF(V265 &lt;&gt; "", 1+((V265-MIN(discount_rates))*(4)/(MAX(discount_rates) - MIN(discount_rates))), "")</f>
        <v/>
      </c>
      <c r="EF265" s="114" t="str">
        <f>IF(Q265="Debt", (1+((S265-MIN(interest_rates))*(4)/(MAX(interest_rates) - MIN(interest_rates)))), "")</f>
        <v/>
      </c>
      <c r="EG265" s="114" t="str">
        <f>IF(OR(Q265="Revenue Share", Q265="Profit Share"), (1+((R265-MIN(return_mutiples))*(4)/(MAX(return_mutiples) - MIN(return_mutiples)))), "")</f>
        <v/>
      </c>
      <c r="EH265" s="115">
        <f t="shared" si="18"/>
        <v>4</v>
      </c>
      <c r="EI265" s="116" t="str">
        <f t="shared" si="19"/>
        <v>Equity - Common</v>
      </c>
      <c r="EJ265" s="117">
        <f t="shared" si="20"/>
        <v>0.3287671233</v>
      </c>
      <c r="EK265" s="116" t="str">
        <f t="shared" si="21"/>
        <v>Growth</v>
      </c>
      <c r="EL265" s="112"/>
      <c r="EM265" s="118">
        <f t="shared" si="22"/>
        <v>2.7</v>
      </c>
      <c r="EN265" s="118">
        <f t="shared" si="23"/>
        <v>1.7</v>
      </c>
      <c r="EO265" s="119">
        <f t="shared" si="24"/>
        <v>4.4</v>
      </c>
      <c r="EP265" s="115">
        <f>1+((EO265-MIN(market_ratings_sums))*(4)/(MAX(market_ratings_sums) - MIN(market_ratings_sums)))</f>
        <v>2.192982456</v>
      </c>
      <c r="EQ265" s="116" t="str">
        <f t="shared" si="25"/>
        <v>Yes</v>
      </c>
      <c r="ER265" s="112"/>
      <c r="ES265" s="123">
        <f>1+((DX265-MIN(industry_experiences))*(4)/(MAX(industry_experiences) - MIN(industry_experiences)))</f>
        <v>1.666666667</v>
      </c>
      <c r="ET265" s="123">
        <f>1+((DY265-MIN(previous_startups))*(4)/(MAX(previous_startups) - MIN(previous_startups)))</f>
        <v>3.222222222</v>
      </c>
      <c r="EU265" s="123">
        <f>1+((DZ265-MIN(exits))*(4)/(MAX(exits) - MIN(exits)))</f>
        <v>2</v>
      </c>
      <c r="EV265" s="119">
        <f t="shared" si="26"/>
        <v>6.888888889</v>
      </c>
      <c r="EW265" s="124">
        <f>1+((EV265-MIN(team_ratings_sums))*(4)/(MAX(team_ratings_sums) - MIN(team_ratings_sums)))</f>
        <v>3.130434783</v>
      </c>
      <c r="EX265" s="116" t="str">
        <f t="shared" si="27"/>
        <v>35 - 54</v>
      </c>
      <c r="EY265" s="125">
        <f t="shared" si="28"/>
        <v>0.6849315068</v>
      </c>
      <c r="EZ265" s="116">
        <f t="shared" si="29"/>
        <v>1</v>
      </c>
      <c r="FA265" s="125">
        <f t="shared" si="30"/>
        <v>0.4383561644</v>
      </c>
      <c r="FB265" s="116">
        <f t="shared" si="31"/>
        <v>10</v>
      </c>
      <c r="FC265" s="125">
        <f t="shared" si="32"/>
        <v>0.02739726027</v>
      </c>
      <c r="FD265" s="116" t="str">
        <f t="shared" si="33"/>
        <v>Yes</v>
      </c>
      <c r="FE265" s="125">
        <f t="shared" si="34"/>
        <v>0.2465753425</v>
      </c>
      <c r="FF265" s="116" t="str">
        <f t="shared" ref="FF265:FH265" si="590">BJ265</f>
        <v>No</v>
      </c>
      <c r="FG265" s="116" t="str">
        <f t="shared" si="590"/>
        <v>No</v>
      </c>
      <c r="FH265" s="116" t="str">
        <f t="shared" si="590"/>
        <v>No</v>
      </c>
      <c r="FI265" s="112"/>
      <c r="FJ265" s="116" t="str">
        <f t="shared" si="36"/>
        <v>Transactional</v>
      </c>
      <c r="FK265" s="125">
        <f t="shared" si="37"/>
        <v>0.602739726</v>
      </c>
      <c r="FL265" s="116" t="str">
        <f t="shared" si="38"/>
        <v>B2B/B2C</v>
      </c>
      <c r="FM265" s="125">
        <f t="shared" si="39"/>
        <v>0.3287671233</v>
      </c>
      <c r="FN265" s="116" t="str">
        <f t="shared" si="40"/>
        <v>High</v>
      </c>
      <c r="FO265" s="125">
        <f t="shared" si="41"/>
        <v>0.5616438356</v>
      </c>
      <c r="FP265" s="116" t="str">
        <f t="shared" si="42"/>
        <v>Low</v>
      </c>
      <c r="FQ265" s="125">
        <f t="shared" si="43"/>
        <v>0.3561643836</v>
      </c>
      <c r="FR265" s="112"/>
      <c r="FS265" s="123">
        <f t="shared" si="44"/>
        <v>5</v>
      </c>
      <c r="FT265" s="123">
        <f t="shared" si="45"/>
        <v>2.3</v>
      </c>
      <c r="FU265" s="123">
        <f t="shared" si="46"/>
        <v>1</v>
      </c>
      <c r="FV265" s="123">
        <f t="shared" si="47"/>
        <v>5</v>
      </c>
      <c r="FW265" s="119">
        <f t="shared" si="48"/>
        <v>13.3</v>
      </c>
      <c r="FX265" s="115">
        <f>1+((FW265-MIN(performance_ratings_sums))*(4)/(MAX(performance_ratings_sums) - MIN(performance_ratings_sums)))</f>
        <v>3.46728972</v>
      </c>
      <c r="FY265" s="116" t="str">
        <f t="shared" si="49"/>
        <v>Pre-Profit</v>
      </c>
      <c r="FZ265" s="126">
        <f t="shared" si="50"/>
        <v>0.4931506849</v>
      </c>
      <c r="GA265" s="112"/>
      <c r="GB265" s="127">
        <f t="shared" si="51"/>
        <v>1</v>
      </c>
      <c r="GC265" s="116" t="str">
        <f t="shared" si="52"/>
        <v>Yes</v>
      </c>
      <c r="GD265" s="126">
        <f t="shared" si="53"/>
        <v>0.2328767123</v>
      </c>
      <c r="GE265" s="126" t="str">
        <f t="shared" si="54"/>
        <v/>
      </c>
      <c r="GF265" s="126">
        <f t="shared" si="55"/>
        <v>0</v>
      </c>
      <c r="GG265" s="126" t="str">
        <f t="shared" si="56"/>
        <v/>
      </c>
      <c r="GH265" s="126">
        <f t="shared" si="57"/>
        <v>0</v>
      </c>
      <c r="GI265" s="112"/>
      <c r="GJ265" s="116"/>
      <c r="GK265" s="119">
        <f t="shared" si="58"/>
        <v>13.79070696</v>
      </c>
      <c r="GL265" s="128">
        <f>1+((GK265-MIN(ratings_sums))*(4)/(MAX(ratings_sums) - MIN(ratings_sums)))</f>
        <v>3.024136275</v>
      </c>
    </row>
    <row r="266" ht="15.75" customHeight="1">
      <c r="A266" s="161" t="s">
        <v>1128</v>
      </c>
      <c r="B266" s="15">
        <v>1748253.0</v>
      </c>
      <c r="C266" s="162" t="s">
        <v>1662</v>
      </c>
      <c r="D266" s="209">
        <v>43832.56597222222</v>
      </c>
      <c r="E266" s="15" t="s">
        <v>343</v>
      </c>
      <c r="F266" s="164" t="s">
        <v>1663</v>
      </c>
      <c r="G266" s="164" t="s">
        <v>1664</v>
      </c>
      <c r="H266" s="173">
        <v>43822.0</v>
      </c>
      <c r="I266" s="162" t="s">
        <v>1665</v>
      </c>
      <c r="J266" s="162" t="s">
        <v>1662</v>
      </c>
      <c r="K266" s="15" t="s">
        <v>457</v>
      </c>
      <c r="L266" s="15" t="s">
        <v>390</v>
      </c>
      <c r="M266" s="15" t="s">
        <v>31</v>
      </c>
      <c r="N266" s="15" t="s">
        <v>82</v>
      </c>
      <c r="O266" s="15" t="s">
        <v>35</v>
      </c>
      <c r="Q266" s="15" t="s">
        <v>121</v>
      </c>
      <c r="R266" s="166"/>
      <c r="S266" s="120"/>
      <c r="T266" s="69">
        <v>7000000.0</v>
      </c>
      <c r="U266" s="69"/>
      <c r="V266" s="132"/>
      <c r="W266" s="96" t="str">
        <f t="shared" si="125"/>
        <v/>
      </c>
      <c r="X266" s="98">
        <f t="shared" si="126"/>
        <v>7000000</v>
      </c>
      <c r="Y266" s="99" t="str">
        <f t="shared" si="127"/>
        <v>$6M - $8M</v>
      </c>
      <c r="Z266" s="15" t="s">
        <v>86</v>
      </c>
      <c r="AA266" s="15" t="s">
        <v>87</v>
      </c>
      <c r="AB266" s="15" t="s">
        <v>38</v>
      </c>
      <c r="AC266" s="15" t="s">
        <v>493</v>
      </c>
      <c r="AD266" s="15" t="s">
        <v>89</v>
      </c>
      <c r="AE266" s="15" t="s">
        <v>89</v>
      </c>
      <c r="AF266" s="15" t="s">
        <v>469</v>
      </c>
      <c r="AG266" s="69">
        <v>1.534E8</v>
      </c>
      <c r="AH266" s="97" t="str">
        <f t="shared" si="128"/>
        <v>$100M-$250M</v>
      </c>
      <c r="AI266" s="69">
        <v>1.534E8</v>
      </c>
      <c r="AJ266" s="97" t="str">
        <f t="shared" si="129"/>
        <v>$100M-$250M</v>
      </c>
      <c r="AK266" s="167">
        <v>0.07</v>
      </c>
      <c r="AL266" s="88" t="str">
        <f t="shared" si="130"/>
        <v>0%-10%</v>
      </c>
      <c r="AM266" s="32">
        <v>80559.0</v>
      </c>
      <c r="AN266" s="15" t="s">
        <v>39</v>
      </c>
      <c r="AO266" s="15" t="s">
        <v>89</v>
      </c>
      <c r="AP266" s="15" t="s">
        <v>40</v>
      </c>
      <c r="AQ266" s="168"/>
      <c r="AR266" s="168"/>
      <c r="AS266" s="15" t="s">
        <v>493</v>
      </c>
      <c r="AT266" s="15" t="s">
        <v>469</v>
      </c>
      <c r="AU266" s="15" t="s">
        <v>493</v>
      </c>
      <c r="AV266" s="15" t="s">
        <v>493</v>
      </c>
      <c r="AW266" s="69">
        <v>48597.0</v>
      </c>
      <c r="AX266" s="96" t="str">
        <f t="shared" si="131"/>
        <v>$10K - $50K</v>
      </c>
      <c r="AY266" s="69">
        <v>234.0</v>
      </c>
      <c r="AZ266" s="69">
        <v>30099.0</v>
      </c>
      <c r="BA266" s="103" t="str">
        <f t="shared" si="132"/>
        <v>$10K - $50K</v>
      </c>
      <c r="BB266" s="103">
        <f t="shared" si="133"/>
        <v>0.007774344663</v>
      </c>
      <c r="BC266" s="103" t="str">
        <f t="shared" si="134"/>
        <v>&lt; 10%</v>
      </c>
      <c r="BD266" s="15" t="s">
        <v>107</v>
      </c>
      <c r="BF266" s="15" t="s">
        <v>469</v>
      </c>
      <c r="BG266" s="15">
        <v>0.0</v>
      </c>
      <c r="BH266" s="15">
        <v>3.0</v>
      </c>
      <c r="BI266" s="15" t="s">
        <v>493</v>
      </c>
      <c r="BJ266" s="15" t="s">
        <v>469</v>
      </c>
      <c r="BK266" s="15" t="s">
        <v>469</v>
      </c>
      <c r="BL266" s="15" t="s">
        <v>469</v>
      </c>
      <c r="BM266" s="15">
        <v>1.0</v>
      </c>
      <c r="BN266" s="15">
        <v>3.0</v>
      </c>
      <c r="BO266" s="15">
        <v>0.0</v>
      </c>
      <c r="BP266" s="15">
        <v>0.0</v>
      </c>
      <c r="BQ266" s="108"/>
      <c r="BR266" s="15">
        <v>20.0</v>
      </c>
      <c r="BS266" s="15">
        <v>2.0</v>
      </c>
      <c r="BT266" s="15">
        <v>0.0</v>
      </c>
      <c r="BU266" s="15">
        <v>48.0</v>
      </c>
      <c r="BV266" s="15" t="s">
        <v>469</v>
      </c>
      <c r="BW266" s="108"/>
      <c r="CC266" s="108"/>
      <c r="CD266" s="15">
        <v>0.0</v>
      </c>
      <c r="CE266" s="15">
        <v>1.0</v>
      </c>
      <c r="CF266" s="15">
        <v>0.0</v>
      </c>
      <c r="CI266" s="108"/>
      <c r="CO266" s="108"/>
      <c r="CU266" s="108"/>
      <c r="DA266" s="108"/>
      <c r="DG266" s="108"/>
      <c r="DM266" s="108"/>
      <c r="DS266" s="108"/>
      <c r="DT266" s="108"/>
      <c r="DU266" s="108"/>
      <c r="DW266" s="109"/>
      <c r="DX266" s="110">
        <f t="shared" si="13"/>
        <v>10</v>
      </c>
      <c r="DY266" s="111">
        <f t="shared" ref="DY266:DZ266" si="591">sum(BS266,BY266,CE266,CK266,CQ266,CW266,DC266,DI266,DO266)</f>
        <v>3</v>
      </c>
      <c r="DZ266" s="111">
        <f t="shared" si="591"/>
        <v>0</v>
      </c>
      <c r="EA266" s="110">
        <f t="shared" si="15"/>
        <v>48</v>
      </c>
      <c r="EB266" s="99" t="str">
        <f t="shared" si="16"/>
        <v>35 - 54</v>
      </c>
      <c r="EC266" s="112"/>
      <c r="ED266" s="113">
        <f t="shared" si="17"/>
        <v>4.2</v>
      </c>
      <c r="EE266" s="114" t="str">
        <f>IF(V266 &lt;&gt; "", 1+((V266-MIN(discount_rates))*(4)/(MAX(discount_rates) - MIN(discount_rates))), "")</f>
        <v/>
      </c>
      <c r="EF266" s="114" t="str">
        <f>IF(Q266="Debt", (1+((S266-MIN(interest_rates))*(4)/(MAX(interest_rates) - MIN(interest_rates)))), "")</f>
        <v/>
      </c>
      <c r="EG266" s="114" t="str">
        <f>IF(OR(Q266="Revenue Share", Q266="Profit Share"), (1+((R266-MIN(return_mutiples))*(4)/(MAX(return_mutiples) - MIN(return_mutiples)))), "")</f>
        <v/>
      </c>
      <c r="EH266" s="115">
        <f t="shared" si="18"/>
        <v>4.2</v>
      </c>
      <c r="EI266" s="116" t="str">
        <f t="shared" si="19"/>
        <v>Equity - Common</v>
      </c>
      <c r="EJ266" s="117">
        <f t="shared" si="20"/>
        <v>0.3287671233</v>
      </c>
      <c r="EK266" s="116" t="str">
        <f t="shared" si="21"/>
        <v>Early</v>
      </c>
      <c r="EL266" s="112"/>
      <c r="EM266" s="118">
        <f t="shared" si="22"/>
        <v>1.9</v>
      </c>
      <c r="EN266" s="118">
        <f t="shared" si="23"/>
        <v>1.7</v>
      </c>
      <c r="EO266" s="119">
        <f t="shared" si="24"/>
        <v>3.6</v>
      </c>
      <c r="EP266" s="115">
        <f>1+((EO266-MIN(market_ratings_sums))*(4)/(MAX(market_ratings_sums) - MIN(market_ratings_sums)))</f>
        <v>1.631578947</v>
      </c>
      <c r="EQ266" s="116" t="str">
        <f t="shared" si="25"/>
        <v>Yes</v>
      </c>
      <c r="ER266" s="112"/>
      <c r="ES266" s="123">
        <f>1+((DX266-MIN(industry_experiences))*(4)/(MAX(industry_experiences) - MIN(industry_experiences)))</f>
        <v>1.952380952</v>
      </c>
      <c r="ET266" s="123">
        <f>1+((DY266-MIN(previous_startups))*(4)/(MAX(previous_startups) - MIN(previous_startups)))</f>
        <v>2.333333333</v>
      </c>
      <c r="EU266" s="123">
        <f>1+((DZ266-MIN(exits))*(4)/(MAX(exits) - MIN(exits)))</f>
        <v>1</v>
      </c>
      <c r="EV266" s="119">
        <f t="shared" si="26"/>
        <v>5.285714286</v>
      </c>
      <c r="EW266" s="124">
        <f>1+((EV266-MIN(team_ratings_sums))*(4)/(MAX(team_ratings_sums) - MIN(team_ratings_sums)))</f>
        <v>2.252173913</v>
      </c>
      <c r="EX266" s="116" t="str">
        <f t="shared" si="27"/>
        <v>35 - 54</v>
      </c>
      <c r="EY266" s="125">
        <f t="shared" si="28"/>
        <v>0.6849315068</v>
      </c>
      <c r="EZ266" s="116">
        <f t="shared" si="29"/>
        <v>3</v>
      </c>
      <c r="FA266" s="125">
        <f t="shared" si="30"/>
        <v>0.05479452055</v>
      </c>
      <c r="FB266" s="116">
        <f t="shared" si="31"/>
        <v>3</v>
      </c>
      <c r="FC266" s="125">
        <f t="shared" si="32"/>
        <v>0.08219178082</v>
      </c>
      <c r="FD266" s="116" t="str">
        <f t="shared" si="33"/>
        <v>Yes</v>
      </c>
      <c r="FE266" s="125">
        <f t="shared" si="34"/>
        <v>0.2465753425</v>
      </c>
      <c r="FF266" s="116" t="str">
        <f t="shared" ref="FF266:FH266" si="592">BJ266</f>
        <v>No</v>
      </c>
      <c r="FG266" s="116" t="str">
        <f t="shared" si="592"/>
        <v>No</v>
      </c>
      <c r="FH266" s="116" t="str">
        <f t="shared" si="592"/>
        <v>No</v>
      </c>
      <c r="FI266" s="112"/>
      <c r="FJ266" s="116" t="str">
        <f t="shared" si="36"/>
        <v>Recurring</v>
      </c>
      <c r="FK266" s="125">
        <f t="shared" si="37"/>
        <v>0.397260274</v>
      </c>
      <c r="FL266" s="116" t="str">
        <f t="shared" si="38"/>
        <v>B2C</v>
      </c>
      <c r="FM266" s="125">
        <f t="shared" si="39"/>
        <v>0.397260274</v>
      </c>
      <c r="FN266" s="116" t="str">
        <f t="shared" si="40"/>
        <v>Low</v>
      </c>
      <c r="FO266" s="125">
        <f t="shared" si="41"/>
        <v>0.4383561644</v>
      </c>
      <c r="FP266" s="116" t="str">
        <f t="shared" si="42"/>
        <v>Low</v>
      </c>
      <c r="FQ266" s="125">
        <f t="shared" si="43"/>
        <v>0.3561643836</v>
      </c>
      <c r="FR266" s="112"/>
      <c r="FS266" s="123">
        <f t="shared" si="44"/>
        <v>5</v>
      </c>
      <c r="FT266" s="123">
        <f t="shared" si="45"/>
        <v>1.4</v>
      </c>
      <c r="FU266" s="123">
        <f t="shared" si="46"/>
        <v>5</v>
      </c>
      <c r="FV266" s="123">
        <f t="shared" si="47"/>
        <v>4.6</v>
      </c>
      <c r="FW266" s="119">
        <f t="shared" si="48"/>
        <v>16</v>
      </c>
      <c r="FX266" s="115">
        <f>1+((FW266-MIN(performance_ratings_sums))*(4)/(MAX(performance_ratings_sums) - MIN(performance_ratings_sums)))</f>
        <v>4.476635514</v>
      </c>
      <c r="FY266" s="116" t="str">
        <f t="shared" si="49"/>
        <v>Pre-Profit</v>
      </c>
      <c r="FZ266" s="126">
        <f t="shared" si="50"/>
        <v>0.4931506849</v>
      </c>
      <c r="GA266" s="112"/>
      <c r="GB266" s="127">
        <f t="shared" si="51"/>
        <v>3</v>
      </c>
      <c r="GC266" s="116" t="str">
        <f t="shared" si="52"/>
        <v>No</v>
      </c>
      <c r="GD266" s="126">
        <f t="shared" si="53"/>
        <v>0.7671232877</v>
      </c>
      <c r="GE266" s="126" t="str">
        <f t="shared" si="54"/>
        <v/>
      </c>
      <c r="GF266" s="126">
        <f t="shared" si="55"/>
        <v>0</v>
      </c>
      <c r="GG266" s="126" t="str">
        <f t="shared" si="56"/>
        <v/>
      </c>
      <c r="GH266" s="126">
        <f t="shared" si="57"/>
        <v>0</v>
      </c>
      <c r="GI266" s="112"/>
      <c r="GJ266" s="116"/>
      <c r="GK266" s="119">
        <f t="shared" si="58"/>
        <v>15.56038837</v>
      </c>
      <c r="GL266" s="128">
        <f>1+((GK266-MIN(ratings_sums))*(4)/(MAX(ratings_sums) - MIN(ratings_sums)))</f>
        <v>3.567145263</v>
      </c>
    </row>
    <row r="267" ht="15.75" customHeight="1">
      <c r="A267" s="161" t="s">
        <v>1128</v>
      </c>
      <c r="B267" s="15">
        <v>1758447.0</v>
      </c>
      <c r="C267" s="162" t="s">
        <v>1666</v>
      </c>
      <c r="D267" s="209">
        <v>43832.56736111111</v>
      </c>
      <c r="E267" s="15" t="s">
        <v>343</v>
      </c>
      <c r="F267" s="164" t="s">
        <v>1667</v>
      </c>
      <c r="G267" s="164" t="s">
        <v>1668</v>
      </c>
      <c r="H267" s="210">
        <v>43832.0</v>
      </c>
      <c r="I267" s="162" t="s">
        <v>1669</v>
      </c>
      <c r="J267" s="162" t="s">
        <v>1666</v>
      </c>
      <c r="K267" s="15" t="s">
        <v>487</v>
      </c>
      <c r="L267" s="15" t="s">
        <v>30</v>
      </c>
      <c r="M267" s="15" t="s">
        <v>81</v>
      </c>
      <c r="N267" s="15" t="s">
        <v>119</v>
      </c>
      <c r="O267" s="15" t="s">
        <v>35</v>
      </c>
      <c r="Q267" s="15" t="s">
        <v>121</v>
      </c>
      <c r="R267" s="166"/>
      <c r="S267" s="120"/>
      <c r="T267" s="69">
        <v>8000000.0</v>
      </c>
      <c r="U267" s="69"/>
      <c r="V267" s="132"/>
      <c r="W267" s="96" t="str">
        <f t="shared" si="125"/>
        <v/>
      </c>
      <c r="X267" s="98">
        <f t="shared" si="126"/>
        <v>8000000</v>
      </c>
      <c r="Y267" s="99" t="str">
        <f t="shared" si="127"/>
        <v>$6M - $8M</v>
      </c>
      <c r="Z267" s="15" t="s">
        <v>86</v>
      </c>
      <c r="AA267" s="15" t="s">
        <v>37</v>
      </c>
      <c r="AB267" s="15" t="s">
        <v>88</v>
      </c>
      <c r="AC267" s="15" t="s">
        <v>493</v>
      </c>
      <c r="AD267" s="15" t="s">
        <v>39</v>
      </c>
      <c r="AE267" s="15" t="s">
        <v>89</v>
      </c>
      <c r="AF267" s="15" t="s">
        <v>469</v>
      </c>
      <c r="AG267" s="69">
        <v>5.0458E11</v>
      </c>
      <c r="AH267" s="97" t="str">
        <f t="shared" si="128"/>
        <v>$500B-$1T</v>
      </c>
      <c r="AI267" s="69">
        <v>5.0458E11</v>
      </c>
      <c r="AJ267" s="97" t="str">
        <f t="shared" si="129"/>
        <v>$500B-$1T</v>
      </c>
      <c r="AK267" s="167">
        <v>0.38</v>
      </c>
      <c r="AL267" s="88" t="str">
        <f t="shared" si="130"/>
        <v>30%-40%</v>
      </c>
      <c r="AM267" s="32">
        <v>7365.0</v>
      </c>
      <c r="AN267" s="15" t="s">
        <v>89</v>
      </c>
      <c r="AO267" s="15" t="s">
        <v>89</v>
      </c>
      <c r="AP267" s="15" t="s">
        <v>40</v>
      </c>
      <c r="AQ267" s="168"/>
      <c r="AR267" s="168"/>
      <c r="AS267" s="15" t="s">
        <v>469</v>
      </c>
      <c r="AT267" s="15" t="s">
        <v>469</v>
      </c>
      <c r="AU267" s="15" t="s">
        <v>493</v>
      </c>
      <c r="AV267" s="15" t="s">
        <v>493</v>
      </c>
      <c r="AW267" s="69">
        <v>2646599.0</v>
      </c>
      <c r="AX267" s="96" t="str">
        <f t="shared" si="131"/>
        <v>$2M - $3M</v>
      </c>
      <c r="AY267" s="69">
        <v>9157.0</v>
      </c>
      <c r="AZ267" s="69">
        <v>0.0</v>
      </c>
      <c r="BA267" s="103" t="str">
        <f t="shared" si="132"/>
        <v>&lt; $10K</v>
      </c>
      <c r="BB267" s="103">
        <f t="shared" si="133"/>
        <v>1</v>
      </c>
      <c r="BC267" s="103" t="str">
        <f t="shared" si="134"/>
        <v>90% - 100%</v>
      </c>
      <c r="BD267" s="15" t="s">
        <v>124</v>
      </c>
      <c r="BF267" s="15" t="s">
        <v>469</v>
      </c>
      <c r="BG267" s="15">
        <v>0.0</v>
      </c>
      <c r="BH267" s="15">
        <v>5.0</v>
      </c>
      <c r="BI267" s="15" t="s">
        <v>493</v>
      </c>
      <c r="BJ267" s="15" t="s">
        <v>469</v>
      </c>
      <c r="BK267" s="15" t="s">
        <v>469</v>
      </c>
      <c r="BL267" s="15" t="s">
        <v>469</v>
      </c>
      <c r="BM267" s="15">
        <v>6.0</v>
      </c>
      <c r="BN267" s="15">
        <v>20.0</v>
      </c>
      <c r="BO267" s="15">
        <v>0.0</v>
      </c>
      <c r="BP267" s="15">
        <v>0.0</v>
      </c>
      <c r="BQ267" s="108"/>
      <c r="BR267" s="15">
        <v>8.0</v>
      </c>
      <c r="BS267" s="15">
        <v>0.0</v>
      </c>
      <c r="BT267" s="15">
        <v>0.0</v>
      </c>
      <c r="BU267" s="15">
        <v>42.0</v>
      </c>
      <c r="BV267" s="15" t="s">
        <v>469</v>
      </c>
      <c r="BW267" s="108"/>
      <c r="BX267" s="15">
        <v>9.0</v>
      </c>
      <c r="BY267" s="15">
        <v>0.0</v>
      </c>
      <c r="BZ267" s="15">
        <v>0.0</v>
      </c>
      <c r="CA267" s="15">
        <v>38.0</v>
      </c>
      <c r="CB267" s="15" t="s">
        <v>469</v>
      </c>
      <c r="CC267" s="108"/>
      <c r="CD267" s="15">
        <v>8.0</v>
      </c>
      <c r="CE267" s="15">
        <v>0.0</v>
      </c>
      <c r="CF267" s="15">
        <v>0.0</v>
      </c>
      <c r="CG267" s="15">
        <v>54.0</v>
      </c>
      <c r="CH267" s="15" t="s">
        <v>469</v>
      </c>
      <c r="CI267" s="108"/>
      <c r="CJ267" s="15">
        <v>10.0</v>
      </c>
      <c r="CK267" s="15">
        <v>0.0</v>
      </c>
      <c r="CL267" s="15">
        <v>0.0</v>
      </c>
      <c r="CM267" s="15">
        <v>41.0</v>
      </c>
      <c r="CN267" s="15" t="s">
        <v>469</v>
      </c>
      <c r="CO267" s="108"/>
      <c r="CP267" s="15">
        <v>7.0</v>
      </c>
      <c r="CQ267" s="15">
        <v>0.0</v>
      </c>
      <c r="CR267" s="15">
        <v>0.0</v>
      </c>
      <c r="CT267" s="15" t="s">
        <v>469</v>
      </c>
      <c r="CU267" s="108"/>
      <c r="DA267" s="108"/>
      <c r="DG267" s="108"/>
      <c r="DM267" s="108"/>
      <c r="DS267" s="108"/>
      <c r="DT267" s="108"/>
      <c r="DU267" s="108"/>
      <c r="DW267" s="109"/>
      <c r="DX267" s="110">
        <f t="shared" si="13"/>
        <v>8.4</v>
      </c>
      <c r="DY267" s="111">
        <f t="shared" ref="DY267:DZ267" si="593">sum(BS267,BY267,CE267,CK267,CQ267,CW267,DC267,DI267,DO267)</f>
        <v>0</v>
      </c>
      <c r="DZ267" s="111">
        <f t="shared" si="593"/>
        <v>0</v>
      </c>
      <c r="EA267" s="110">
        <f t="shared" si="15"/>
        <v>43.75</v>
      </c>
      <c r="EB267" s="99" t="str">
        <f t="shared" si="16"/>
        <v>35 - 54</v>
      </c>
      <c r="EC267" s="112"/>
      <c r="ED267" s="113">
        <f t="shared" si="17"/>
        <v>4.2</v>
      </c>
      <c r="EE267" s="114" t="str">
        <f>IF(V267 &lt;&gt; "", 1+((V267-MIN(discount_rates))*(4)/(MAX(discount_rates) - MIN(discount_rates))), "")</f>
        <v/>
      </c>
      <c r="EF267" s="114" t="str">
        <f>IF(Q267="Debt", (1+((S267-MIN(interest_rates))*(4)/(MAX(interest_rates) - MIN(interest_rates)))), "")</f>
        <v/>
      </c>
      <c r="EG267" s="114" t="str">
        <f>IF(OR(Q267="Revenue Share", Q267="Profit Share"), (1+((R267-MIN(return_mutiples))*(4)/(MAX(return_mutiples) - MIN(return_mutiples)))), "")</f>
        <v/>
      </c>
      <c r="EH267" s="115">
        <f t="shared" si="18"/>
        <v>4.2</v>
      </c>
      <c r="EI267" s="116" t="str">
        <f t="shared" si="19"/>
        <v>Equity - Common</v>
      </c>
      <c r="EJ267" s="117">
        <f t="shared" si="20"/>
        <v>0.3287671233</v>
      </c>
      <c r="EK267" s="116" t="str">
        <f t="shared" si="21"/>
        <v>Growth</v>
      </c>
      <c r="EL267" s="112"/>
      <c r="EM267" s="118">
        <f t="shared" si="22"/>
        <v>4.7</v>
      </c>
      <c r="EN267" s="118">
        <f t="shared" si="23"/>
        <v>3.7</v>
      </c>
      <c r="EO267" s="119">
        <f t="shared" si="24"/>
        <v>8.4</v>
      </c>
      <c r="EP267" s="115">
        <f>1+((EO267-MIN(market_ratings_sums))*(4)/(MAX(market_ratings_sums) - MIN(market_ratings_sums)))</f>
        <v>5</v>
      </c>
      <c r="EQ267" s="116" t="str">
        <f t="shared" si="25"/>
        <v>No</v>
      </c>
      <c r="ER267" s="112"/>
      <c r="ES267" s="123">
        <f>1+((DX267-MIN(industry_experiences))*(4)/(MAX(industry_experiences) - MIN(industry_experiences)))</f>
        <v>1.8</v>
      </c>
      <c r="ET267" s="123">
        <f>1+((DY267-MIN(previous_startups))*(4)/(MAX(previous_startups) - MIN(previous_startups)))</f>
        <v>1</v>
      </c>
      <c r="EU267" s="123">
        <f>1+((DZ267-MIN(exits))*(4)/(MAX(exits) - MIN(exits)))</f>
        <v>1</v>
      </c>
      <c r="EV267" s="119">
        <f t="shared" si="26"/>
        <v>3.8</v>
      </c>
      <c r="EW267" s="124">
        <f>1+((EV267-MIN(team_ratings_sums))*(4)/(MAX(team_ratings_sums) - MIN(team_ratings_sums)))</f>
        <v>1.43826087</v>
      </c>
      <c r="EX267" s="116" t="str">
        <f t="shared" si="27"/>
        <v>35 - 54</v>
      </c>
      <c r="EY267" s="125">
        <f t="shared" si="28"/>
        <v>0.6849315068</v>
      </c>
      <c r="EZ267" s="116">
        <f t="shared" si="29"/>
        <v>5</v>
      </c>
      <c r="FA267" s="125">
        <f t="shared" si="30"/>
        <v>0</v>
      </c>
      <c r="FB267" s="116">
        <f t="shared" si="31"/>
        <v>20</v>
      </c>
      <c r="FC267" s="125">
        <f t="shared" si="32"/>
        <v>0.01369863014</v>
      </c>
      <c r="FD267" s="116" t="str">
        <f t="shared" si="33"/>
        <v>Yes</v>
      </c>
      <c r="FE267" s="125">
        <f t="shared" si="34"/>
        <v>0.2465753425</v>
      </c>
      <c r="FF267" s="116" t="str">
        <f t="shared" ref="FF267:FH267" si="594">BJ267</f>
        <v>No</v>
      </c>
      <c r="FG267" s="116" t="str">
        <f t="shared" si="594"/>
        <v>No</v>
      </c>
      <c r="FH267" s="116" t="str">
        <f t="shared" si="594"/>
        <v>No</v>
      </c>
      <c r="FI267" s="112"/>
      <c r="FJ267" s="116" t="str">
        <f t="shared" si="36"/>
        <v>Recurring</v>
      </c>
      <c r="FK267" s="125">
        <f t="shared" si="37"/>
        <v>0.397260274</v>
      </c>
      <c r="FL267" s="116" t="str">
        <f t="shared" si="38"/>
        <v>B2B</v>
      </c>
      <c r="FM267" s="125">
        <f t="shared" si="39"/>
        <v>0.2465753425</v>
      </c>
      <c r="FN267" s="116" t="str">
        <f t="shared" si="40"/>
        <v>High</v>
      </c>
      <c r="FO267" s="125">
        <f t="shared" si="41"/>
        <v>0.5616438356</v>
      </c>
      <c r="FP267" s="116" t="str">
        <f t="shared" si="42"/>
        <v>Low</v>
      </c>
      <c r="FQ267" s="125">
        <f t="shared" si="43"/>
        <v>0.3561643836</v>
      </c>
      <c r="FR267" s="112"/>
      <c r="FS267" s="123">
        <f t="shared" si="44"/>
        <v>5</v>
      </c>
      <c r="FT267" s="123">
        <f t="shared" si="45"/>
        <v>3.7</v>
      </c>
      <c r="FU267" s="123">
        <f t="shared" si="46"/>
        <v>1</v>
      </c>
      <c r="FV267" s="123">
        <f t="shared" si="47"/>
        <v>5</v>
      </c>
      <c r="FW267" s="119">
        <f t="shared" si="48"/>
        <v>14.7</v>
      </c>
      <c r="FX267" s="115">
        <f>1+((FW267-MIN(performance_ratings_sums))*(4)/(MAX(performance_ratings_sums) - MIN(performance_ratings_sums)))</f>
        <v>3.990654206</v>
      </c>
      <c r="FY267" s="116" t="str">
        <f t="shared" si="49"/>
        <v>Profitable</v>
      </c>
      <c r="FZ267" s="126">
        <f t="shared" si="50"/>
        <v>0.06849315068</v>
      </c>
      <c r="GA267" s="112"/>
      <c r="GB267" s="127">
        <f t="shared" si="51"/>
        <v>1</v>
      </c>
      <c r="GC267" s="116" t="str">
        <f t="shared" si="52"/>
        <v>No</v>
      </c>
      <c r="GD267" s="126">
        <f t="shared" si="53"/>
        <v>0.7671232877</v>
      </c>
      <c r="GE267" s="126" t="str">
        <f t="shared" si="54"/>
        <v/>
      </c>
      <c r="GF267" s="126">
        <f t="shared" si="55"/>
        <v>0</v>
      </c>
      <c r="GG267" s="126" t="str">
        <f t="shared" si="56"/>
        <v/>
      </c>
      <c r="GH267" s="126">
        <f t="shared" si="57"/>
        <v>0</v>
      </c>
      <c r="GI267" s="112"/>
      <c r="GJ267" s="116"/>
      <c r="GK267" s="119">
        <f t="shared" si="58"/>
        <v>15.62891508</v>
      </c>
      <c r="GL267" s="128">
        <f>1+((GK267-MIN(ratings_sums))*(4)/(MAX(ratings_sums) - MIN(ratings_sums)))</f>
        <v>3.588171994</v>
      </c>
    </row>
    <row r="268" ht="15.75" customHeight="1">
      <c r="A268" s="161" t="s">
        <v>1128</v>
      </c>
      <c r="B268" s="15">
        <v>1742800.0</v>
      </c>
      <c r="C268" s="162" t="s">
        <v>1670</v>
      </c>
      <c r="D268" s="209">
        <v>43832.58125</v>
      </c>
      <c r="E268" s="15" t="s">
        <v>363</v>
      </c>
      <c r="F268" s="164" t="s">
        <v>1671</v>
      </c>
      <c r="G268" s="164" t="s">
        <v>1672</v>
      </c>
      <c r="H268" s="210">
        <v>43733.0</v>
      </c>
      <c r="I268" s="162" t="s">
        <v>1673</v>
      </c>
      <c r="J268" s="162" t="s">
        <v>1674</v>
      </c>
      <c r="K268" s="15" t="s">
        <v>423</v>
      </c>
      <c r="L268" s="15" t="s">
        <v>390</v>
      </c>
      <c r="M268" s="15" t="s">
        <v>31</v>
      </c>
      <c r="N268" s="15" t="s">
        <v>32</v>
      </c>
      <c r="O268" s="15" t="s">
        <v>35</v>
      </c>
      <c r="Q268" s="15" t="s">
        <v>34</v>
      </c>
      <c r="R268" s="166"/>
      <c r="S268" s="120"/>
      <c r="T268" s="69"/>
      <c r="U268" s="69">
        <v>450000.0</v>
      </c>
      <c r="V268" s="132">
        <v>0.0</v>
      </c>
      <c r="W268" s="96">
        <f t="shared" si="125"/>
        <v>450000</v>
      </c>
      <c r="X268" s="98">
        <f t="shared" si="126"/>
        <v>450000</v>
      </c>
      <c r="Y268" s="99" t="str">
        <f t="shared" si="127"/>
        <v>&lt; $1M</v>
      </c>
      <c r="Z268" s="15" t="s">
        <v>36</v>
      </c>
      <c r="AA268" s="15" t="s">
        <v>123</v>
      </c>
      <c r="AB268" s="15" t="s">
        <v>38</v>
      </c>
      <c r="AC268" s="15" t="s">
        <v>493</v>
      </c>
      <c r="AD268" s="15" t="s">
        <v>89</v>
      </c>
      <c r="AE268" s="15" t="s">
        <v>89</v>
      </c>
      <c r="AF268" s="15" t="s">
        <v>469</v>
      </c>
      <c r="AG268" s="69">
        <v>4.26E9</v>
      </c>
      <c r="AH268" s="97" t="str">
        <f t="shared" si="128"/>
        <v>$1B-$5B</v>
      </c>
      <c r="AI268" s="69">
        <v>4.26E9</v>
      </c>
      <c r="AJ268" s="97" t="str">
        <f t="shared" si="129"/>
        <v>$1B-$5B</v>
      </c>
      <c r="AK268" s="167">
        <v>0.04</v>
      </c>
      <c r="AL268" s="88" t="str">
        <f t="shared" si="130"/>
        <v>0%-10%</v>
      </c>
      <c r="AM268" s="32">
        <v>7700.0</v>
      </c>
      <c r="AN268" s="15" t="s">
        <v>89</v>
      </c>
      <c r="AO268" s="15" t="s">
        <v>89</v>
      </c>
      <c r="AP268" s="15" t="s">
        <v>40</v>
      </c>
      <c r="AQ268" s="168"/>
      <c r="AR268" s="168"/>
      <c r="AS268" s="15" t="s">
        <v>469</v>
      </c>
      <c r="AT268" s="15" t="s">
        <v>469</v>
      </c>
      <c r="AU268" s="15" t="s">
        <v>469</v>
      </c>
      <c r="AV268" s="15" t="s">
        <v>469</v>
      </c>
      <c r="AW268" s="69">
        <v>0.0</v>
      </c>
      <c r="AX268" s="96" t="str">
        <f t="shared" si="131"/>
        <v>&lt; $10K</v>
      </c>
      <c r="AY268" s="69">
        <v>365.0</v>
      </c>
      <c r="AZ268" s="69">
        <v>0.0</v>
      </c>
      <c r="BA268" s="103" t="str">
        <f t="shared" si="132"/>
        <v>&lt; $10K</v>
      </c>
      <c r="BB268" s="103">
        <f t="shared" si="133"/>
        <v>1</v>
      </c>
      <c r="BC268" s="103" t="str">
        <f t="shared" si="134"/>
        <v>90% - 100%</v>
      </c>
      <c r="BD268" s="15" t="s">
        <v>41</v>
      </c>
      <c r="BF268" s="15" t="s">
        <v>469</v>
      </c>
      <c r="BG268" s="15">
        <v>0.0</v>
      </c>
      <c r="BH268" s="15">
        <v>1.0</v>
      </c>
      <c r="BI268" s="15" t="s">
        <v>469</v>
      </c>
      <c r="BJ268" s="15" t="s">
        <v>469</v>
      </c>
      <c r="BK268" s="15" t="s">
        <v>493</v>
      </c>
      <c r="BL268" s="15" t="s">
        <v>469</v>
      </c>
      <c r="BM268" s="15">
        <v>0.0</v>
      </c>
      <c r="BN268" s="15">
        <v>2.0</v>
      </c>
      <c r="BO268" s="15">
        <v>0.0</v>
      </c>
      <c r="BP268" s="15">
        <v>0.0</v>
      </c>
      <c r="BQ268" s="108"/>
      <c r="BR268" s="15">
        <v>0.0</v>
      </c>
      <c r="BS268" s="15">
        <v>2.0</v>
      </c>
      <c r="BT268" s="15">
        <v>0.0</v>
      </c>
      <c r="BU268" s="15">
        <v>59.0</v>
      </c>
      <c r="BV268" s="15" t="s">
        <v>469</v>
      </c>
      <c r="BW268" s="108"/>
      <c r="CC268" s="108"/>
      <c r="CI268" s="108"/>
      <c r="CO268" s="108"/>
      <c r="CU268" s="108"/>
      <c r="DA268" s="108"/>
      <c r="DG268" s="108"/>
      <c r="DM268" s="108"/>
      <c r="DS268" s="108"/>
      <c r="DT268" s="108"/>
      <c r="DU268" s="108"/>
      <c r="DW268" s="109"/>
      <c r="DX268" s="110">
        <f t="shared" si="13"/>
        <v>0</v>
      </c>
      <c r="DY268" s="111">
        <f t="shared" ref="DY268:DZ268" si="595">sum(BS268,BY268,CE268,CK268,CQ268,CW268,DC268,DI268,DO268)</f>
        <v>2</v>
      </c>
      <c r="DZ268" s="111">
        <f t="shared" si="595"/>
        <v>0</v>
      </c>
      <c r="EA268" s="110">
        <f t="shared" si="15"/>
        <v>59</v>
      </c>
      <c r="EB268" s="99" t="str">
        <f t="shared" si="16"/>
        <v>55+</v>
      </c>
      <c r="EC268" s="112"/>
      <c r="ED268" s="113">
        <f t="shared" si="17"/>
        <v>5</v>
      </c>
      <c r="EE268" s="114">
        <f>IF(V268 &lt;&gt; "", 1+((V268-MIN(discount_rates))*(4)/(MAX(discount_rates) - MIN(discount_rates))), "")</f>
        <v>1</v>
      </c>
      <c r="EF268" s="114" t="str">
        <f>IF(Q268="Debt", (1+((S268-MIN(interest_rates))*(4)/(MAX(interest_rates) - MIN(interest_rates)))), "")</f>
        <v/>
      </c>
      <c r="EG268" s="114" t="str">
        <f>IF(OR(Q268="Revenue Share", Q268="Profit Share"), (1+((R268-MIN(return_mutiples))*(4)/(MAX(return_mutiples) - MIN(return_mutiples)))), "")</f>
        <v/>
      </c>
      <c r="EH268" s="115">
        <f t="shared" si="18"/>
        <v>5</v>
      </c>
      <c r="EI268" s="116" t="str">
        <f t="shared" si="19"/>
        <v>CAFES</v>
      </c>
      <c r="EJ268" s="117">
        <f t="shared" si="20"/>
        <v>0.1232876712</v>
      </c>
      <c r="EK268" s="116" t="str">
        <f t="shared" si="21"/>
        <v>Early</v>
      </c>
      <c r="EL268" s="112"/>
      <c r="EM268" s="118">
        <f t="shared" si="22"/>
        <v>2.7</v>
      </c>
      <c r="EN268" s="118">
        <f t="shared" si="23"/>
        <v>1.7</v>
      </c>
      <c r="EO268" s="119">
        <f t="shared" si="24"/>
        <v>4.4</v>
      </c>
      <c r="EP268" s="115">
        <f>1+((EO268-MIN(market_ratings_sums))*(4)/(MAX(market_ratings_sums) - MIN(market_ratings_sums)))</f>
        <v>2.192982456</v>
      </c>
      <c r="EQ268" s="116" t="str">
        <f t="shared" si="25"/>
        <v>No</v>
      </c>
      <c r="ER268" s="112"/>
      <c r="ES268" s="123">
        <f>1+((DX268-MIN(industry_experiences))*(4)/(MAX(industry_experiences) - MIN(industry_experiences)))</f>
        <v>1</v>
      </c>
      <c r="ET268" s="123">
        <f>1+((DY268-MIN(previous_startups))*(4)/(MAX(previous_startups) - MIN(previous_startups)))</f>
        <v>1.888888889</v>
      </c>
      <c r="EU268" s="123">
        <f>1+((DZ268-MIN(exits))*(4)/(MAX(exits) - MIN(exits)))</f>
        <v>1</v>
      </c>
      <c r="EV268" s="119">
        <f t="shared" si="26"/>
        <v>3.888888889</v>
      </c>
      <c r="EW268" s="124">
        <f>1+((EV268-MIN(team_ratings_sums))*(4)/(MAX(team_ratings_sums) - MIN(team_ratings_sums)))</f>
        <v>1.486956522</v>
      </c>
      <c r="EX268" s="116" t="str">
        <f t="shared" si="27"/>
        <v>55+</v>
      </c>
      <c r="EY268" s="125">
        <f t="shared" si="28"/>
        <v>0.1095890411</v>
      </c>
      <c r="EZ268" s="116">
        <f t="shared" si="29"/>
        <v>1</v>
      </c>
      <c r="FA268" s="125">
        <f t="shared" si="30"/>
        <v>0.4383561644</v>
      </c>
      <c r="FB268" s="116">
        <f t="shared" si="31"/>
        <v>2</v>
      </c>
      <c r="FC268" s="125">
        <f t="shared" si="32"/>
        <v>0.1369863014</v>
      </c>
      <c r="FD268" s="116" t="str">
        <f t="shared" si="33"/>
        <v>No</v>
      </c>
      <c r="FE268" s="125">
        <f t="shared" si="34"/>
        <v>0.7534246575</v>
      </c>
      <c r="FF268" s="116" t="str">
        <f t="shared" ref="FF268:FH268" si="596">BJ268</f>
        <v>No</v>
      </c>
      <c r="FG268" s="116" t="str">
        <f t="shared" si="596"/>
        <v>Yes</v>
      </c>
      <c r="FH268" s="116" t="str">
        <f t="shared" si="596"/>
        <v>No</v>
      </c>
      <c r="FI268" s="112"/>
      <c r="FJ268" s="116" t="str">
        <f t="shared" si="36"/>
        <v>Transactional</v>
      </c>
      <c r="FK268" s="125">
        <f t="shared" si="37"/>
        <v>0.602739726</v>
      </c>
      <c r="FL268" s="116" t="str">
        <f t="shared" si="38"/>
        <v>B2B/B2C</v>
      </c>
      <c r="FM268" s="125">
        <f t="shared" si="39"/>
        <v>0.3287671233</v>
      </c>
      <c r="FN268" s="116" t="str">
        <f t="shared" si="40"/>
        <v>Low</v>
      </c>
      <c r="FO268" s="125">
        <f t="shared" si="41"/>
        <v>0.4383561644</v>
      </c>
      <c r="FP268" s="116" t="str">
        <f t="shared" si="42"/>
        <v>Low</v>
      </c>
      <c r="FQ268" s="125">
        <f t="shared" si="43"/>
        <v>0.3561643836</v>
      </c>
      <c r="FR268" s="112"/>
      <c r="FS268" s="123">
        <f t="shared" si="44"/>
        <v>1</v>
      </c>
      <c r="FT268" s="123">
        <f t="shared" si="45"/>
        <v>1</v>
      </c>
      <c r="FU268" s="123">
        <f t="shared" si="46"/>
        <v>1</v>
      </c>
      <c r="FV268" s="123">
        <f t="shared" si="47"/>
        <v>5</v>
      </c>
      <c r="FW268" s="119">
        <f t="shared" si="48"/>
        <v>8</v>
      </c>
      <c r="FX268" s="115">
        <f>1+((FW268-MIN(performance_ratings_sums))*(4)/(MAX(performance_ratings_sums) - MIN(performance_ratings_sums)))</f>
        <v>1.485981308</v>
      </c>
      <c r="FY268" s="116" t="str">
        <f t="shared" si="49"/>
        <v>Pre-Product</v>
      </c>
      <c r="FZ268" s="126">
        <f t="shared" si="50"/>
        <v>0.2328767123</v>
      </c>
      <c r="GA268" s="112"/>
      <c r="GB268" s="127">
        <f t="shared" si="51"/>
        <v>1</v>
      </c>
      <c r="GC268" s="116" t="str">
        <f t="shared" si="52"/>
        <v>No</v>
      </c>
      <c r="GD268" s="126">
        <f t="shared" si="53"/>
        <v>0.7671232877</v>
      </c>
      <c r="GE268" s="126" t="str">
        <f t="shared" si="54"/>
        <v/>
      </c>
      <c r="GF268" s="126">
        <f t="shared" si="55"/>
        <v>0</v>
      </c>
      <c r="GG268" s="126" t="str">
        <f t="shared" si="56"/>
        <v/>
      </c>
      <c r="GH268" s="126">
        <f t="shared" si="57"/>
        <v>0</v>
      </c>
      <c r="GI268" s="112"/>
      <c r="GJ268" s="116"/>
      <c r="GK268" s="119">
        <f t="shared" si="58"/>
        <v>11.16592029</v>
      </c>
      <c r="GL268" s="128">
        <f>1+((GK268-MIN(ratings_sums))*(4)/(MAX(ratings_sums) - MIN(ratings_sums)))</f>
        <v>2.218746818</v>
      </c>
    </row>
    <row r="269" ht="15.75" customHeight="1">
      <c r="A269" s="161" t="s">
        <v>1128</v>
      </c>
      <c r="B269" s="15">
        <v>1740066.0</v>
      </c>
      <c r="C269" s="162" t="s">
        <v>1675</v>
      </c>
      <c r="D269" s="163">
        <v>43832.583333333336</v>
      </c>
      <c r="E269" s="15" t="s">
        <v>363</v>
      </c>
      <c r="F269" s="164" t="s">
        <v>1676</v>
      </c>
      <c r="G269" s="164" t="s">
        <v>1677</v>
      </c>
      <c r="H269" s="210">
        <v>43712.0</v>
      </c>
      <c r="I269" s="162" t="s">
        <v>1675</v>
      </c>
      <c r="J269" s="162" t="s">
        <v>1678</v>
      </c>
      <c r="K269" s="15" t="s">
        <v>422</v>
      </c>
      <c r="L269" s="15" t="s">
        <v>390</v>
      </c>
      <c r="M269" s="15" t="s">
        <v>31</v>
      </c>
      <c r="N269" s="15" t="s">
        <v>32</v>
      </c>
      <c r="O269" s="15" t="s">
        <v>35</v>
      </c>
      <c r="Q269" s="15" t="s">
        <v>34</v>
      </c>
      <c r="R269" s="166"/>
      <c r="S269" s="120"/>
      <c r="T269" s="69"/>
      <c r="U269" s="69">
        <v>464285.0</v>
      </c>
      <c r="V269" s="132">
        <v>0.0</v>
      </c>
      <c r="W269" s="96">
        <f t="shared" si="125"/>
        <v>464285</v>
      </c>
      <c r="X269" s="98">
        <f t="shared" si="126"/>
        <v>464285</v>
      </c>
      <c r="Y269" s="99" t="str">
        <f t="shared" si="127"/>
        <v>&lt; $1M</v>
      </c>
      <c r="Z269" s="15" t="s">
        <v>36</v>
      </c>
      <c r="AA269" s="15" t="s">
        <v>123</v>
      </c>
      <c r="AB269" s="15" t="s">
        <v>38</v>
      </c>
      <c r="AC269" s="15" t="s">
        <v>493</v>
      </c>
      <c r="AD269" s="15" t="s">
        <v>89</v>
      </c>
      <c r="AE269" s="15" t="s">
        <v>89</v>
      </c>
      <c r="AF269" s="15" t="s">
        <v>469</v>
      </c>
      <c r="AG269" s="69">
        <v>1.759E10</v>
      </c>
      <c r="AH269" s="97" t="str">
        <f t="shared" si="128"/>
        <v>$10B-$25B</v>
      </c>
      <c r="AI269" s="69">
        <v>1.759E10</v>
      </c>
      <c r="AJ269" s="97" t="str">
        <f t="shared" si="129"/>
        <v>$10B-$25B</v>
      </c>
      <c r="AK269" s="167">
        <v>0.06</v>
      </c>
      <c r="AL269" s="88" t="str">
        <f t="shared" si="130"/>
        <v>0%-10%</v>
      </c>
      <c r="AM269" s="15">
        <v>6.0</v>
      </c>
      <c r="AN269" s="15" t="s">
        <v>89</v>
      </c>
      <c r="AO269" s="15" t="s">
        <v>89</v>
      </c>
      <c r="AP269" s="15" t="s">
        <v>40</v>
      </c>
      <c r="AQ269" s="168"/>
      <c r="AR269" s="168"/>
      <c r="AS269" s="15" t="s">
        <v>469</v>
      </c>
      <c r="AT269" s="15" t="s">
        <v>469</v>
      </c>
      <c r="AU269" s="15" t="s">
        <v>469</v>
      </c>
      <c r="AV269" s="15" t="s">
        <v>469</v>
      </c>
      <c r="AW269" s="69">
        <v>0.0</v>
      </c>
      <c r="AX269" s="96" t="str">
        <f t="shared" si="131"/>
        <v>&lt; $10K</v>
      </c>
      <c r="AY269" s="69">
        <v>1194.0</v>
      </c>
      <c r="AZ269" s="69">
        <v>5870.0</v>
      </c>
      <c r="BA269" s="103" t="str">
        <f t="shared" si="132"/>
        <v>&lt; $10K</v>
      </c>
      <c r="BB269" s="103">
        <f t="shared" si="133"/>
        <v>0.203407155</v>
      </c>
      <c r="BC269" s="103" t="str">
        <f t="shared" si="134"/>
        <v>20% - 30%</v>
      </c>
      <c r="BD269" s="15" t="s">
        <v>91</v>
      </c>
      <c r="BF269" s="15" t="s">
        <v>469</v>
      </c>
      <c r="BG269" s="15">
        <v>0.0</v>
      </c>
      <c r="BH269" s="15">
        <v>1.0</v>
      </c>
      <c r="BI269" s="15" t="s">
        <v>469</v>
      </c>
      <c r="BJ269" s="15" t="s">
        <v>469</v>
      </c>
      <c r="BK269" s="15" t="s">
        <v>493</v>
      </c>
      <c r="BL269" s="15" t="s">
        <v>469</v>
      </c>
      <c r="BM269" s="15">
        <v>2.0</v>
      </c>
      <c r="BN269" s="15">
        <v>2.0</v>
      </c>
      <c r="BO269" s="15">
        <v>0.0</v>
      </c>
      <c r="BP269" s="15">
        <v>0.0</v>
      </c>
      <c r="BQ269" s="108"/>
      <c r="BR269" s="15">
        <v>0.0</v>
      </c>
      <c r="BS269" s="15">
        <v>3.0</v>
      </c>
      <c r="BT269" s="15">
        <v>0.0</v>
      </c>
      <c r="BU269" s="15">
        <v>49.0</v>
      </c>
      <c r="BV269" s="15" t="s">
        <v>469</v>
      </c>
      <c r="BW269" s="108"/>
      <c r="CC269" s="108"/>
      <c r="CI269" s="108"/>
      <c r="CO269" s="108"/>
      <c r="CU269" s="108"/>
      <c r="DA269" s="108"/>
      <c r="DG269" s="108"/>
      <c r="DM269" s="108"/>
      <c r="DS269" s="108"/>
      <c r="DT269" s="108"/>
      <c r="DU269" s="108"/>
      <c r="DW269" s="109"/>
      <c r="DX269" s="110">
        <f t="shared" si="13"/>
        <v>0</v>
      </c>
      <c r="DY269" s="111">
        <f t="shared" ref="DY269:DZ269" si="597">sum(BS269,BY269,CE269,CK269,CQ269,CW269,DC269,DI269,DO269)</f>
        <v>3</v>
      </c>
      <c r="DZ269" s="111">
        <f t="shared" si="597"/>
        <v>0</v>
      </c>
      <c r="EA269" s="110">
        <f t="shared" si="15"/>
        <v>49</v>
      </c>
      <c r="EB269" s="99" t="str">
        <f t="shared" si="16"/>
        <v>35 - 54</v>
      </c>
      <c r="EC269" s="112"/>
      <c r="ED269" s="113">
        <f t="shared" si="17"/>
        <v>5</v>
      </c>
      <c r="EE269" s="114">
        <f>IF(V269 &lt;&gt; "", 1+((V269-MIN(discount_rates))*(4)/(MAX(discount_rates) - MIN(discount_rates))), "")</f>
        <v>1</v>
      </c>
      <c r="EF269" s="114" t="str">
        <f>IF(Q269="Debt", (1+((S269-MIN(interest_rates))*(4)/(MAX(interest_rates) - MIN(interest_rates)))), "")</f>
        <v/>
      </c>
      <c r="EG269" s="114" t="str">
        <f>IF(OR(Q269="Revenue Share", Q269="Profit Share"), (1+((R269-MIN(return_mutiples))*(4)/(MAX(return_mutiples) - MIN(return_mutiples)))), "")</f>
        <v/>
      </c>
      <c r="EH269" s="115">
        <f t="shared" si="18"/>
        <v>5</v>
      </c>
      <c r="EI269" s="116" t="str">
        <f t="shared" si="19"/>
        <v>CAFES</v>
      </c>
      <c r="EJ269" s="117">
        <f t="shared" si="20"/>
        <v>0.1232876712</v>
      </c>
      <c r="EK269" s="116" t="str">
        <f t="shared" si="21"/>
        <v>Early</v>
      </c>
      <c r="EL269" s="112"/>
      <c r="EM269" s="118">
        <f t="shared" si="22"/>
        <v>3.3</v>
      </c>
      <c r="EN269" s="118">
        <f t="shared" si="23"/>
        <v>1.7</v>
      </c>
      <c r="EO269" s="119">
        <f t="shared" si="24"/>
        <v>5</v>
      </c>
      <c r="EP269" s="115">
        <f>1+((EO269-MIN(market_ratings_sums))*(4)/(MAX(market_ratings_sums) - MIN(market_ratings_sums)))</f>
        <v>2.614035088</v>
      </c>
      <c r="EQ269" s="116" t="str">
        <f t="shared" si="25"/>
        <v>No</v>
      </c>
      <c r="ER269" s="112"/>
      <c r="ES269" s="123">
        <f>1+((DX269-MIN(industry_experiences))*(4)/(MAX(industry_experiences) - MIN(industry_experiences)))</f>
        <v>1</v>
      </c>
      <c r="ET269" s="123">
        <f>1+((DY269-MIN(previous_startups))*(4)/(MAX(previous_startups) - MIN(previous_startups)))</f>
        <v>2.333333333</v>
      </c>
      <c r="EU269" s="123">
        <f>1+((DZ269-MIN(exits))*(4)/(MAX(exits) - MIN(exits)))</f>
        <v>1</v>
      </c>
      <c r="EV269" s="119">
        <f t="shared" si="26"/>
        <v>4.333333333</v>
      </c>
      <c r="EW269" s="124">
        <f>1+((EV269-MIN(team_ratings_sums))*(4)/(MAX(team_ratings_sums) - MIN(team_ratings_sums)))</f>
        <v>1.730434783</v>
      </c>
      <c r="EX269" s="116" t="str">
        <f t="shared" si="27"/>
        <v>35 - 54</v>
      </c>
      <c r="EY269" s="125">
        <f t="shared" si="28"/>
        <v>0.6849315068</v>
      </c>
      <c r="EZ269" s="116">
        <f t="shared" si="29"/>
        <v>1</v>
      </c>
      <c r="FA269" s="125">
        <f t="shared" si="30"/>
        <v>0.4383561644</v>
      </c>
      <c r="FB269" s="116">
        <f t="shared" si="31"/>
        <v>2</v>
      </c>
      <c r="FC269" s="125">
        <f t="shared" si="32"/>
        <v>0.1369863014</v>
      </c>
      <c r="FD269" s="116" t="str">
        <f t="shared" si="33"/>
        <v>No</v>
      </c>
      <c r="FE269" s="125">
        <f t="shared" si="34"/>
        <v>0.7534246575</v>
      </c>
      <c r="FF269" s="116" t="str">
        <f t="shared" ref="FF269:FH269" si="598">BJ269</f>
        <v>No</v>
      </c>
      <c r="FG269" s="116" t="str">
        <f t="shared" si="598"/>
        <v>Yes</v>
      </c>
      <c r="FH269" s="116" t="str">
        <f t="shared" si="598"/>
        <v>No</v>
      </c>
      <c r="FI269" s="112"/>
      <c r="FJ269" s="116" t="str">
        <f t="shared" si="36"/>
        <v>Transactional</v>
      </c>
      <c r="FK269" s="125">
        <f t="shared" si="37"/>
        <v>0.602739726</v>
      </c>
      <c r="FL269" s="116" t="str">
        <f t="shared" si="38"/>
        <v>B2B/B2C</v>
      </c>
      <c r="FM269" s="125">
        <f t="shared" si="39"/>
        <v>0.3287671233</v>
      </c>
      <c r="FN269" s="116" t="str">
        <f t="shared" si="40"/>
        <v>Low</v>
      </c>
      <c r="FO269" s="125">
        <f t="shared" si="41"/>
        <v>0.4383561644</v>
      </c>
      <c r="FP269" s="116" t="str">
        <f t="shared" si="42"/>
        <v>Low</v>
      </c>
      <c r="FQ269" s="125">
        <f t="shared" si="43"/>
        <v>0.3561643836</v>
      </c>
      <c r="FR269" s="112"/>
      <c r="FS269" s="123">
        <f t="shared" si="44"/>
        <v>1</v>
      </c>
      <c r="FT269" s="123">
        <f t="shared" si="45"/>
        <v>1</v>
      </c>
      <c r="FU269" s="123">
        <f t="shared" si="46"/>
        <v>4.1</v>
      </c>
      <c r="FV269" s="123">
        <f t="shared" si="47"/>
        <v>5</v>
      </c>
      <c r="FW269" s="119">
        <f t="shared" si="48"/>
        <v>11.1</v>
      </c>
      <c r="FX269" s="115">
        <f>1+((FW269-MIN(performance_ratings_sums))*(4)/(MAX(performance_ratings_sums) - MIN(performance_ratings_sums)))</f>
        <v>2.644859813</v>
      </c>
      <c r="FY269" s="116" t="str">
        <f t="shared" si="49"/>
        <v>Pre-Revenue</v>
      </c>
      <c r="FZ269" s="126">
        <f t="shared" si="50"/>
        <v>0.2054794521</v>
      </c>
      <c r="GA269" s="112"/>
      <c r="GB269" s="127">
        <f t="shared" si="51"/>
        <v>1</v>
      </c>
      <c r="GC269" s="116" t="str">
        <f t="shared" si="52"/>
        <v>No</v>
      </c>
      <c r="GD269" s="126">
        <f t="shared" si="53"/>
        <v>0.7671232877</v>
      </c>
      <c r="GE269" s="126" t="str">
        <f t="shared" si="54"/>
        <v/>
      </c>
      <c r="GF269" s="126">
        <f t="shared" si="55"/>
        <v>0</v>
      </c>
      <c r="GG269" s="126" t="str">
        <f t="shared" si="56"/>
        <v/>
      </c>
      <c r="GH269" s="126">
        <f t="shared" si="57"/>
        <v>0</v>
      </c>
      <c r="GI269" s="112"/>
      <c r="GJ269" s="116"/>
      <c r="GK269" s="119">
        <f t="shared" si="58"/>
        <v>12.98932968</v>
      </c>
      <c r="GL269" s="128">
        <f>1+((GK269-MIN(ratings_sums))*(4)/(MAX(ratings_sums) - MIN(ratings_sums)))</f>
        <v>2.778241698</v>
      </c>
    </row>
    <row r="270" ht="15.75" customHeight="1">
      <c r="A270" s="161" t="s">
        <v>1128</v>
      </c>
      <c r="B270" s="15">
        <v>1796828.0</v>
      </c>
      <c r="C270" s="162" t="s">
        <v>1679</v>
      </c>
      <c r="D270" s="163">
        <v>43832.59583333333</v>
      </c>
      <c r="E270" s="15" t="s">
        <v>93</v>
      </c>
      <c r="F270" s="164" t="s">
        <v>1680</v>
      </c>
      <c r="G270" s="164" t="s">
        <v>1681</v>
      </c>
      <c r="H270" s="210">
        <v>43847.0</v>
      </c>
      <c r="I270" s="162" t="s">
        <v>1682</v>
      </c>
      <c r="J270" s="162"/>
      <c r="K270" s="15" t="s">
        <v>524</v>
      </c>
      <c r="L270" s="15" t="s">
        <v>390</v>
      </c>
      <c r="M270" s="15" t="s">
        <v>31</v>
      </c>
      <c r="N270" s="15" t="s">
        <v>82</v>
      </c>
      <c r="O270" s="15" t="s">
        <v>35</v>
      </c>
      <c r="Q270" s="15" t="s">
        <v>121</v>
      </c>
      <c r="R270" s="166"/>
      <c r="S270" s="120"/>
      <c r="T270" s="69">
        <v>2660000.0</v>
      </c>
      <c r="U270" s="69"/>
      <c r="V270" s="132"/>
      <c r="W270" s="96" t="str">
        <f t="shared" si="125"/>
        <v/>
      </c>
      <c r="X270" s="98">
        <f t="shared" si="126"/>
        <v>2660000</v>
      </c>
      <c r="Y270" s="99" t="str">
        <f t="shared" si="127"/>
        <v>$2M - $4M</v>
      </c>
      <c r="Z270" s="15" t="s">
        <v>86</v>
      </c>
      <c r="AA270" s="15" t="s">
        <v>123</v>
      </c>
      <c r="AB270" s="15" t="s">
        <v>38</v>
      </c>
      <c r="AC270" s="15" t="s">
        <v>493</v>
      </c>
      <c r="AD270" s="15" t="s">
        <v>89</v>
      </c>
      <c r="AE270" s="15" t="s">
        <v>39</v>
      </c>
      <c r="AF270" s="15" t="s">
        <v>469</v>
      </c>
      <c r="AG270" s="69">
        <v>7.52222E11</v>
      </c>
      <c r="AH270" s="97" t="str">
        <f t="shared" si="128"/>
        <v>$500B-$1T</v>
      </c>
      <c r="AI270" s="69">
        <v>7.52222E11</v>
      </c>
      <c r="AJ270" s="97" t="str">
        <f t="shared" si="129"/>
        <v>$500B-$1T</v>
      </c>
      <c r="AK270" s="167">
        <v>0.05</v>
      </c>
      <c r="AL270" s="88" t="str">
        <f t="shared" si="130"/>
        <v>0%-10%</v>
      </c>
      <c r="AN270" s="15" t="s">
        <v>89</v>
      </c>
      <c r="AO270" s="15" t="s">
        <v>89</v>
      </c>
      <c r="AP270" s="15" t="s">
        <v>40</v>
      </c>
      <c r="AQ270" s="168"/>
      <c r="AR270" s="168"/>
      <c r="AS270" s="15" t="s">
        <v>469</v>
      </c>
      <c r="AT270" s="15" t="s">
        <v>469</v>
      </c>
      <c r="AU270" s="15" t="s">
        <v>469</v>
      </c>
      <c r="AV270" s="15" t="s">
        <v>469</v>
      </c>
      <c r="AW270" s="69">
        <v>0.0</v>
      </c>
      <c r="AX270" s="96" t="str">
        <f t="shared" si="131"/>
        <v>&lt; $10K</v>
      </c>
      <c r="AY270" s="69">
        <v>0.0</v>
      </c>
      <c r="AZ270" s="69">
        <v>50000.0</v>
      </c>
      <c r="BA270" s="103" t="str">
        <f t="shared" si="132"/>
        <v>$10K - $50K</v>
      </c>
      <c r="BB270" s="103">
        <f t="shared" si="133"/>
        <v>1</v>
      </c>
      <c r="BC270" s="103" t="str">
        <f t="shared" si="134"/>
        <v>90% - 100%</v>
      </c>
      <c r="BD270" s="15" t="s">
        <v>41</v>
      </c>
      <c r="BF270" s="15" t="s">
        <v>469</v>
      </c>
      <c r="BG270" s="15">
        <v>0.0</v>
      </c>
      <c r="BH270" s="15">
        <v>1.0</v>
      </c>
      <c r="BI270" s="15" t="s">
        <v>493</v>
      </c>
      <c r="BJ270" s="15" t="s">
        <v>469</v>
      </c>
      <c r="BK270" s="15" t="s">
        <v>493</v>
      </c>
      <c r="BL270" s="15" t="s">
        <v>469</v>
      </c>
      <c r="BM270" s="15">
        <v>1.0</v>
      </c>
      <c r="BN270" s="15">
        <v>2.0</v>
      </c>
      <c r="BO270" s="15">
        <v>0.0</v>
      </c>
      <c r="BP270" s="15">
        <v>0.0</v>
      </c>
      <c r="BQ270" s="108"/>
      <c r="BR270" s="15">
        <v>9.0</v>
      </c>
      <c r="BS270" s="15">
        <v>1.0</v>
      </c>
      <c r="BT270" s="15">
        <v>0.0</v>
      </c>
      <c r="BU270" s="15">
        <v>36.0</v>
      </c>
      <c r="BV270" s="15" t="s">
        <v>469</v>
      </c>
      <c r="BW270" s="108"/>
      <c r="CC270" s="108"/>
      <c r="CI270" s="108"/>
      <c r="CO270" s="108"/>
      <c r="CU270" s="108"/>
      <c r="DA270" s="108"/>
      <c r="DG270" s="108"/>
      <c r="DM270" s="108"/>
      <c r="DS270" s="108"/>
      <c r="DT270" s="108"/>
      <c r="DU270" s="108"/>
      <c r="DW270" s="109"/>
      <c r="DX270" s="110">
        <f t="shared" si="13"/>
        <v>9</v>
      </c>
      <c r="DY270" s="111">
        <f t="shared" ref="DY270:DZ270" si="599">sum(BS270,BY270,CE270,CK270,CQ270,CW270,DC270,DI270,DO270)</f>
        <v>1</v>
      </c>
      <c r="DZ270" s="111">
        <f t="shared" si="599"/>
        <v>0</v>
      </c>
      <c r="EA270" s="110">
        <f t="shared" si="15"/>
        <v>36</v>
      </c>
      <c r="EB270" s="99" t="str">
        <f t="shared" si="16"/>
        <v>35 - 54</v>
      </c>
      <c r="EC270" s="112"/>
      <c r="ED270" s="113">
        <f t="shared" si="17"/>
        <v>4.6</v>
      </c>
      <c r="EE270" s="114" t="str">
        <f>IF(V270 &lt;&gt; "", 1+((V270-MIN(discount_rates))*(4)/(MAX(discount_rates) - MIN(discount_rates))), "")</f>
        <v/>
      </c>
      <c r="EF270" s="114" t="str">
        <f>IF(Q270="Debt", (1+((S270-MIN(interest_rates))*(4)/(MAX(interest_rates) - MIN(interest_rates)))), "")</f>
        <v/>
      </c>
      <c r="EG270" s="114" t="str">
        <f>IF(OR(Q270="Revenue Share", Q270="Profit Share"), (1+((R270-MIN(return_mutiples))*(4)/(MAX(return_mutiples) - MIN(return_mutiples)))), "")</f>
        <v/>
      </c>
      <c r="EH270" s="115">
        <f t="shared" si="18"/>
        <v>4.6</v>
      </c>
      <c r="EI270" s="116" t="str">
        <f t="shared" si="19"/>
        <v>Equity - Common</v>
      </c>
      <c r="EJ270" s="117">
        <f t="shared" si="20"/>
        <v>0.3287671233</v>
      </c>
      <c r="EK270" s="116" t="str">
        <f t="shared" si="21"/>
        <v>Early</v>
      </c>
      <c r="EL270" s="112"/>
      <c r="EM270" s="118">
        <f t="shared" si="22"/>
        <v>4.7</v>
      </c>
      <c r="EN270" s="118">
        <f t="shared" si="23"/>
        <v>1.7</v>
      </c>
      <c r="EO270" s="119">
        <f t="shared" si="24"/>
        <v>6.4</v>
      </c>
      <c r="EP270" s="115">
        <f>1+((EO270-MIN(market_ratings_sums))*(4)/(MAX(market_ratings_sums) - MIN(market_ratings_sums)))</f>
        <v>3.596491228</v>
      </c>
      <c r="EQ270" s="116" t="str">
        <f t="shared" si="25"/>
        <v>No</v>
      </c>
      <c r="ER270" s="112"/>
      <c r="ES270" s="123">
        <f>1+((DX270-MIN(industry_experiences))*(4)/(MAX(industry_experiences) - MIN(industry_experiences)))</f>
        <v>1.857142857</v>
      </c>
      <c r="ET270" s="123">
        <f>1+((DY270-MIN(previous_startups))*(4)/(MAX(previous_startups) - MIN(previous_startups)))</f>
        <v>1.444444444</v>
      </c>
      <c r="EU270" s="123">
        <f>1+((DZ270-MIN(exits))*(4)/(MAX(exits) - MIN(exits)))</f>
        <v>1</v>
      </c>
      <c r="EV270" s="119">
        <f t="shared" si="26"/>
        <v>4.301587302</v>
      </c>
      <c r="EW270" s="124">
        <f>1+((EV270-MIN(team_ratings_sums))*(4)/(MAX(team_ratings_sums) - MIN(team_ratings_sums)))</f>
        <v>1.713043478</v>
      </c>
      <c r="EX270" s="116" t="str">
        <f t="shared" si="27"/>
        <v>35 - 54</v>
      </c>
      <c r="EY270" s="125">
        <f t="shared" si="28"/>
        <v>0.6849315068</v>
      </c>
      <c r="EZ270" s="116">
        <f t="shared" si="29"/>
        <v>1</v>
      </c>
      <c r="FA270" s="125">
        <f t="shared" si="30"/>
        <v>0.4383561644</v>
      </c>
      <c r="FB270" s="116">
        <f t="shared" si="31"/>
        <v>2</v>
      </c>
      <c r="FC270" s="125">
        <f t="shared" si="32"/>
        <v>0.1369863014</v>
      </c>
      <c r="FD270" s="116" t="str">
        <f t="shared" si="33"/>
        <v>Yes</v>
      </c>
      <c r="FE270" s="125">
        <f t="shared" si="34"/>
        <v>0.2465753425</v>
      </c>
      <c r="FF270" s="116" t="str">
        <f t="shared" ref="FF270:FH270" si="600">BJ270</f>
        <v>No</v>
      </c>
      <c r="FG270" s="116" t="str">
        <f t="shared" si="600"/>
        <v>Yes</v>
      </c>
      <c r="FH270" s="116" t="str">
        <f t="shared" si="600"/>
        <v>No</v>
      </c>
      <c r="FI270" s="112"/>
      <c r="FJ270" s="116" t="str">
        <f t="shared" si="36"/>
        <v>Recurring</v>
      </c>
      <c r="FK270" s="125">
        <f t="shared" si="37"/>
        <v>0.397260274</v>
      </c>
      <c r="FL270" s="116" t="str">
        <f t="shared" si="38"/>
        <v>B2B/B2C</v>
      </c>
      <c r="FM270" s="125">
        <f t="shared" si="39"/>
        <v>0.3287671233</v>
      </c>
      <c r="FN270" s="116" t="str">
        <f t="shared" si="40"/>
        <v>Low</v>
      </c>
      <c r="FO270" s="125">
        <f t="shared" si="41"/>
        <v>0.4383561644</v>
      </c>
      <c r="FP270" s="116" t="str">
        <f t="shared" si="42"/>
        <v>High</v>
      </c>
      <c r="FQ270" s="125">
        <f t="shared" si="43"/>
        <v>0.6438356164</v>
      </c>
      <c r="FR270" s="112"/>
      <c r="FS270" s="123">
        <f t="shared" si="44"/>
        <v>1</v>
      </c>
      <c r="FT270" s="123">
        <f t="shared" si="45"/>
        <v>1</v>
      </c>
      <c r="FU270" s="123">
        <f t="shared" si="46"/>
        <v>1</v>
      </c>
      <c r="FV270" s="123">
        <f t="shared" si="47"/>
        <v>4.6</v>
      </c>
      <c r="FW270" s="119">
        <f t="shared" si="48"/>
        <v>7.6</v>
      </c>
      <c r="FX270" s="115">
        <f>1+((FW270-MIN(performance_ratings_sums))*(4)/(MAX(performance_ratings_sums) - MIN(performance_ratings_sums)))</f>
        <v>1.336448598</v>
      </c>
      <c r="FY270" s="116" t="str">
        <f t="shared" si="49"/>
        <v>Pre-Product</v>
      </c>
      <c r="FZ270" s="126">
        <f t="shared" si="50"/>
        <v>0.2328767123</v>
      </c>
      <c r="GA270" s="112"/>
      <c r="GB270" s="127">
        <f t="shared" si="51"/>
        <v>1</v>
      </c>
      <c r="GC270" s="116" t="str">
        <f t="shared" si="52"/>
        <v>No</v>
      </c>
      <c r="GD270" s="126">
        <f t="shared" si="53"/>
        <v>0.7671232877</v>
      </c>
      <c r="GE270" s="126" t="str">
        <f t="shared" si="54"/>
        <v/>
      </c>
      <c r="GF270" s="126">
        <f t="shared" si="55"/>
        <v>0</v>
      </c>
      <c r="GG270" s="126" t="str">
        <f t="shared" si="56"/>
        <v/>
      </c>
      <c r="GH270" s="126">
        <f t="shared" si="57"/>
        <v>0</v>
      </c>
      <c r="GI270" s="112"/>
      <c r="GJ270" s="116"/>
      <c r="GK270" s="119">
        <f t="shared" si="58"/>
        <v>12.2459833</v>
      </c>
      <c r="GL270" s="128">
        <f>1+((GK270-MIN(ratings_sums))*(4)/(MAX(ratings_sums) - MIN(ratings_sums)))</f>
        <v>2.550153319</v>
      </c>
    </row>
    <row r="271" ht="15.75" customHeight="1">
      <c r="A271" s="161" t="s">
        <v>1128</v>
      </c>
      <c r="B271" s="15">
        <v>1780452.0</v>
      </c>
      <c r="C271" s="162" t="s">
        <v>1683</v>
      </c>
      <c r="D271" s="163">
        <v>43832.59930555556</v>
      </c>
      <c r="E271" s="15" t="s">
        <v>109</v>
      </c>
      <c r="F271" s="164" t="s">
        <v>1684</v>
      </c>
      <c r="G271" s="164" t="s">
        <v>1685</v>
      </c>
      <c r="H271" s="210">
        <v>43832.0</v>
      </c>
      <c r="I271" s="162" t="s">
        <v>1686</v>
      </c>
      <c r="J271" s="162" t="s">
        <v>1683</v>
      </c>
      <c r="K271" s="15" t="s">
        <v>543</v>
      </c>
      <c r="L271" s="15" t="s">
        <v>390</v>
      </c>
      <c r="M271" s="15" t="s">
        <v>31</v>
      </c>
      <c r="N271" s="15" t="s">
        <v>32</v>
      </c>
      <c r="O271" s="15" t="s">
        <v>35</v>
      </c>
      <c r="Q271" s="15" t="s">
        <v>121</v>
      </c>
      <c r="R271" s="166"/>
      <c r="S271" s="120"/>
      <c r="T271" s="69">
        <v>2.5E7</v>
      </c>
      <c r="U271" s="69"/>
      <c r="V271" s="132"/>
      <c r="W271" s="96" t="str">
        <f t="shared" si="125"/>
        <v/>
      </c>
      <c r="X271" s="98">
        <f t="shared" si="126"/>
        <v>25000000</v>
      </c>
      <c r="Y271" s="99" t="str">
        <f t="shared" si="127"/>
        <v>$24M - $26M</v>
      </c>
      <c r="Z271" s="15" t="s">
        <v>36</v>
      </c>
      <c r="AA271" s="15" t="s">
        <v>87</v>
      </c>
      <c r="AB271" s="15" t="s">
        <v>38</v>
      </c>
      <c r="AC271" s="15" t="s">
        <v>493</v>
      </c>
      <c r="AD271" s="15" t="s">
        <v>89</v>
      </c>
      <c r="AE271" s="15" t="s">
        <v>39</v>
      </c>
      <c r="AF271" s="15" t="s">
        <v>469</v>
      </c>
      <c r="AG271" s="69">
        <v>8.808E10</v>
      </c>
      <c r="AH271" s="97" t="str">
        <f t="shared" si="128"/>
        <v>$50B-$100B</v>
      </c>
      <c r="AI271" s="69">
        <v>8.808E10</v>
      </c>
      <c r="AJ271" s="97" t="str">
        <f t="shared" si="129"/>
        <v>$50B-$100B</v>
      </c>
      <c r="AK271" s="167">
        <v>0.2</v>
      </c>
      <c r="AL271" s="88" t="str">
        <f t="shared" si="130"/>
        <v>10%-20%</v>
      </c>
      <c r="AM271" s="15">
        <v>11.0</v>
      </c>
      <c r="AN271" s="15" t="s">
        <v>89</v>
      </c>
      <c r="AO271" s="15" t="s">
        <v>89</v>
      </c>
      <c r="AP271" s="15" t="s">
        <v>40</v>
      </c>
      <c r="AQ271" s="168"/>
      <c r="AR271" s="168"/>
      <c r="AS271" s="15" t="s">
        <v>469</v>
      </c>
      <c r="AT271" s="15" t="s">
        <v>469</v>
      </c>
      <c r="AU271" s="15" t="s">
        <v>469</v>
      </c>
      <c r="AV271" s="15" t="s">
        <v>469</v>
      </c>
      <c r="AW271" s="69">
        <v>0.0</v>
      </c>
      <c r="AX271" s="96" t="str">
        <f t="shared" si="131"/>
        <v>&lt; $10K</v>
      </c>
      <c r="AY271" s="69">
        <v>48.0</v>
      </c>
      <c r="AZ271" s="69">
        <v>0.0</v>
      </c>
      <c r="BA271" s="103" t="str">
        <f t="shared" si="132"/>
        <v>&lt; $10K</v>
      </c>
      <c r="BB271" s="103">
        <f t="shared" si="133"/>
        <v>1</v>
      </c>
      <c r="BC271" s="103" t="str">
        <f t="shared" si="134"/>
        <v>90% - 100%</v>
      </c>
      <c r="BD271" s="15" t="s">
        <v>41</v>
      </c>
      <c r="BF271" s="15" t="s">
        <v>469</v>
      </c>
      <c r="BG271" s="15">
        <v>0.0</v>
      </c>
      <c r="BH271" s="15">
        <v>1.0</v>
      </c>
      <c r="BI271" s="15" t="s">
        <v>469</v>
      </c>
      <c r="BJ271" s="15" t="s">
        <v>469</v>
      </c>
      <c r="BK271" s="15" t="s">
        <v>469</v>
      </c>
      <c r="BL271" s="15" t="s">
        <v>469</v>
      </c>
      <c r="BM271" s="15">
        <v>1.0</v>
      </c>
      <c r="BN271" s="15">
        <v>1.0</v>
      </c>
      <c r="BO271" s="15">
        <v>0.0</v>
      </c>
      <c r="BP271" s="15">
        <v>0.0</v>
      </c>
      <c r="BQ271" s="108"/>
      <c r="BR271" s="15">
        <v>0.0</v>
      </c>
      <c r="BS271" s="15">
        <v>0.0</v>
      </c>
      <c r="BT271" s="15">
        <v>0.0</v>
      </c>
      <c r="BU271" s="15">
        <v>42.0</v>
      </c>
      <c r="BV271" s="15" t="s">
        <v>469</v>
      </c>
      <c r="BW271" s="108"/>
      <c r="CC271" s="108"/>
      <c r="CI271" s="108"/>
      <c r="CO271" s="108"/>
      <c r="CU271" s="108"/>
      <c r="DA271" s="108"/>
      <c r="DG271" s="108"/>
      <c r="DM271" s="108"/>
      <c r="DS271" s="108"/>
      <c r="DT271" s="108"/>
      <c r="DU271" s="108"/>
      <c r="DW271" s="109"/>
      <c r="DX271" s="110">
        <f t="shared" si="13"/>
        <v>0</v>
      </c>
      <c r="DY271" s="111">
        <f t="shared" ref="DY271:DZ271" si="601">sum(BS271,BY271,CE271,CK271,CQ271,CW271,DC271,DI271,DO271)</f>
        <v>0</v>
      </c>
      <c r="DZ271" s="111">
        <f t="shared" si="601"/>
        <v>0</v>
      </c>
      <c r="EA271" s="110">
        <f t="shared" si="15"/>
        <v>42</v>
      </c>
      <c r="EB271" s="99" t="str">
        <f t="shared" si="16"/>
        <v>35 - 54</v>
      </c>
      <c r="EC271" s="112"/>
      <c r="ED271" s="113">
        <f t="shared" si="17"/>
        <v>2.5</v>
      </c>
      <c r="EE271" s="114" t="str">
        <f>IF(V271 &lt;&gt; "", 1+((V271-MIN(discount_rates))*(4)/(MAX(discount_rates) - MIN(discount_rates))), "")</f>
        <v/>
      </c>
      <c r="EF271" s="114" t="str">
        <f>IF(Q271="Debt", (1+((S271-MIN(interest_rates))*(4)/(MAX(interest_rates) - MIN(interest_rates)))), "")</f>
        <v/>
      </c>
      <c r="EG271" s="114" t="str">
        <f>IF(OR(Q271="Revenue Share", Q271="Profit Share"), (1+((R271-MIN(return_mutiples))*(4)/(MAX(return_mutiples) - MIN(return_mutiples)))), "")</f>
        <v/>
      </c>
      <c r="EH271" s="115">
        <f t="shared" si="18"/>
        <v>2.5</v>
      </c>
      <c r="EI271" s="116" t="str">
        <f t="shared" si="19"/>
        <v>Equity - Common</v>
      </c>
      <c r="EJ271" s="117">
        <f t="shared" si="20"/>
        <v>0.3287671233</v>
      </c>
      <c r="EK271" s="116" t="str">
        <f t="shared" si="21"/>
        <v>Early</v>
      </c>
      <c r="EL271" s="112"/>
      <c r="EM271" s="118">
        <f t="shared" si="22"/>
        <v>3.9</v>
      </c>
      <c r="EN271" s="118">
        <f t="shared" si="23"/>
        <v>2.3</v>
      </c>
      <c r="EO271" s="119">
        <f t="shared" si="24"/>
        <v>6.2</v>
      </c>
      <c r="EP271" s="115">
        <f>1+((EO271-MIN(market_ratings_sums))*(4)/(MAX(market_ratings_sums) - MIN(market_ratings_sums)))</f>
        <v>3.456140351</v>
      </c>
      <c r="EQ271" s="116" t="str">
        <f t="shared" si="25"/>
        <v>No</v>
      </c>
      <c r="ER271" s="112"/>
      <c r="ES271" s="123">
        <f>1+((DX271-MIN(industry_experiences))*(4)/(MAX(industry_experiences) - MIN(industry_experiences)))</f>
        <v>1</v>
      </c>
      <c r="ET271" s="123">
        <f>1+((DY271-MIN(previous_startups))*(4)/(MAX(previous_startups) - MIN(previous_startups)))</f>
        <v>1</v>
      </c>
      <c r="EU271" s="123">
        <f>1+((DZ271-MIN(exits))*(4)/(MAX(exits) - MIN(exits)))</f>
        <v>1</v>
      </c>
      <c r="EV271" s="119">
        <f t="shared" si="26"/>
        <v>3</v>
      </c>
      <c r="EW271" s="124">
        <f>1+((EV271-MIN(team_ratings_sums))*(4)/(MAX(team_ratings_sums) - MIN(team_ratings_sums)))</f>
        <v>1</v>
      </c>
      <c r="EX271" s="116" t="str">
        <f t="shared" si="27"/>
        <v>35 - 54</v>
      </c>
      <c r="EY271" s="125">
        <f t="shared" si="28"/>
        <v>0.6849315068</v>
      </c>
      <c r="EZ271" s="116">
        <f t="shared" si="29"/>
        <v>1</v>
      </c>
      <c r="FA271" s="125">
        <f t="shared" si="30"/>
        <v>0.4383561644</v>
      </c>
      <c r="FB271" s="116">
        <f t="shared" si="31"/>
        <v>1</v>
      </c>
      <c r="FC271" s="125">
        <f t="shared" si="32"/>
        <v>0.08219178082</v>
      </c>
      <c r="FD271" s="116" t="str">
        <f t="shared" si="33"/>
        <v>No</v>
      </c>
      <c r="FE271" s="125">
        <f t="shared" si="34"/>
        <v>0.7534246575</v>
      </c>
      <c r="FF271" s="116" t="str">
        <f t="shared" ref="FF271:FH271" si="602">BJ271</f>
        <v>No</v>
      </c>
      <c r="FG271" s="116" t="str">
        <f t="shared" si="602"/>
        <v>No</v>
      </c>
      <c r="FH271" s="116" t="str">
        <f t="shared" si="602"/>
        <v>No</v>
      </c>
      <c r="FI271" s="112"/>
      <c r="FJ271" s="116" t="str">
        <f t="shared" si="36"/>
        <v>Transactional</v>
      </c>
      <c r="FK271" s="125">
        <f t="shared" si="37"/>
        <v>0.602739726</v>
      </c>
      <c r="FL271" s="116" t="str">
        <f t="shared" si="38"/>
        <v>B2C</v>
      </c>
      <c r="FM271" s="125">
        <f t="shared" si="39"/>
        <v>0.397260274</v>
      </c>
      <c r="FN271" s="116" t="str">
        <f t="shared" si="40"/>
        <v>Low</v>
      </c>
      <c r="FO271" s="125">
        <f t="shared" si="41"/>
        <v>0.4383561644</v>
      </c>
      <c r="FP271" s="116" t="str">
        <f t="shared" si="42"/>
        <v>High</v>
      </c>
      <c r="FQ271" s="125">
        <f t="shared" si="43"/>
        <v>0.6438356164</v>
      </c>
      <c r="FR271" s="112"/>
      <c r="FS271" s="123">
        <f t="shared" si="44"/>
        <v>1</v>
      </c>
      <c r="FT271" s="123">
        <f t="shared" si="45"/>
        <v>1</v>
      </c>
      <c r="FU271" s="123">
        <f t="shared" si="46"/>
        <v>1</v>
      </c>
      <c r="FV271" s="123">
        <f t="shared" si="47"/>
        <v>5</v>
      </c>
      <c r="FW271" s="119">
        <f t="shared" si="48"/>
        <v>8</v>
      </c>
      <c r="FX271" s="115">
        <f>1+((FW271-MIN(performance_ratings_sums))*(4)/(MAX(performance_ratings_sums) - MIN(performance_ratings_sums)))</f>
        <v>1.485981308</v>
      </c>
      <c r="FY271" s="116" t="str">
        <f t="shared" si="49"/>
        <v>Pre-Product</v>
      </c>
      <c r="FZ271" s="126">
        <f t="shared" si="50"/>
        <v>0.2328767123</v>
      </c>
      <c r="GA271" s="112"/>
      <c r="GB271" s="127">
        <f t="shared" si="51"/>
        <v>1</v>
      </c>
      <c r="GC271" s="116" t="str">
        <f t="shared" si="52"/>
        <v>No</v>
      </c>
      <c r="GD271" s="126">
        <f t="shared" si="53"/>
        <v>0.7671232877</v>
      </c>
      <c r="GE271" s="126" t="str">
        <f t="shared" si="54"/>
        <v/>
      </c>
      <c r="GF271" s="126">
        <f t="shared" si="55"/>
        <v>0</v>
      </c>
      <c r="GG271" s="126" t="str">
        <f t="shared" si="56"/>
        <v/>
      </c>
      <c r="GH271" s="126">
        <f t="shared" si="57"/>
        <v>0</v>
      </c>
      <c r="GI271" s="112"/>
      <c r="GJ271" s="116"/>
      <c r="GK271" s="119">
        <f t="shared" si="58"/>
        <v>9.442121659</v>
      </c>
      <c r="GL271" s="128">
        <f>1+((GK271-MIN(ratings_sums))*(4)/(MAX(ratings_sums) - MIN(ratings_sums)))</f>
        <v>1.689816503</v>
      </c>
    </row>
    <row r="272" ht="15.75" customHeight="1">
      <c r="A272" s="161" t="s">
        <v>1128</v>
      </c>
      <c r="B272" s="15">
        <v>1626196.0</v>
      </c>
      <c r="C272" s="162" t="s">
        <v>1687</v>
      </c>
      <c r="D272" s="163">
        <v>43833.436111111114</v>
      </c>
      <c r="E272" s="15" t="s">
        <v>381</v>
      </c>
      <c r="F272" s="164" t="s">
        <v>1688</v>
      </c>
      <c r="G272" s="164" t="s">
        <v>1689</v>
      </c>
      <c r="H272" s="210">
        <v>43887.0</v>
      </c>
      <c r="I272" s="162" t="s">
        <v>1690</v>
      </c>
      <c r="J272" s="162" t="s">
        <v>1687</v>
      </c>
      <c r="K272" s="15" t="s">
        <v>524</v>
      </c>
      <c r="L272" s="15" t="s">
        <v>368</v>
      </c>
      <c r="M272" s="15" t="s">
        <v>31</v>
      </c>
      <c r="N272" s="15" t="s">
        <v>82</v>
      </c>
      <c r="O272" s="15" t="s">
        <v>35</v>
      </c>
      <c r="Q272" s="15" t="s">
        <v>121</v>
      </c>
      <c r="R272" s="166"/>
      <c r="S272" s="120"/>
      <c r="T272" s="69">
        <v>8996400.0</v>
      </c>
      <c r="U272" s="69"/>
      <c r="V272" s="132"/>
      <c r="W272" s="96" t="str">
        <f t="shared" si="125"/>
        <v/>
      </c>
      <c r="X272" s="98">
        <f t="shared" si="126"/>
        <v>8996400</v>
      </c>
      <c r="Y272" s="99" t="str">
        <f t="shared" si="127"/>
        <v>$8M - $10M</v>
      </c>
      <c r="Z272" s="15" t="s">
        <v>36</v>
      </c>
      <c r="AA272" s="15" t="s">
        <v>123</v>
      </c>
      <c r="AB272" s="15" t="s">
        <v>38</v>
      </c>
      <c r="AC272" s="15" t="s">
        <v>493</v>
      </c>
      <c r="AD272" s="15" t="s">
        <v>89</v>
      </c>
      <c r="AE272" s="15" t="s">
        <v>39</v>
      </c>
      <c r="AF272" s="15" t="s">
        <v>469</v>
      </c>
      <c r="AG272" s="69">
        <v>2.229E13</v>
      </c>
      <c r="AH272" s="97" t="str">
        <f t="shared" si="128"/>
        <v>&gt; $1T</v>
      </c>
      <c r="AI272" s="69">
        <v>2.229E13</v>
      </c>
      <c r="AJ272" s="97" t="str">
        <f t="shared" si="129"/>
        <v>&gt; $1T</v>
      </c>
      <c r="AK272" s="167">
        <v>0.09</v>
      </c>
      <c r="AL272" s="88" t="str">
        <f t="shared" si="130"/>
        <v>0%-10%</v>
      </c>
      <c r="AM272" s="15">
        <v>7.0</v>
      </c>
      <c r="AN272" s="15" t="s">
        <v>39</v>
      </c>
      <c r="AO272" s="15" t="s">
        <v>39</v>
      </c>
      <c r="AP272" s="15" t="s">
        <v>90</v>
      </c>
      <c r="AQ272" s="168"/>
      <c r="AR272" s="168"/>
      <c r="AS272" s="15" t="s">
        <v>493</v>
      </c>
      <c r="AT272" s="15" t="s">
        <v>493</v>
      </c>
      <c r="AU272" s="15" t="s">
        <v>469</v>
      </c>
      <c r="AV272" s="15" t="s">
        <v>469</v>
      </c>
      <c r="AW272" s="69">
        <v>0.0</v>
      </c>
      <c r="AX272" s="96" t="str">
        <f t="shared" si="131"/>
        <v>&lt; $10K</v>
      </c>
      <c r="AY272" s="69">
        <v>6131.0</v>
      </c>
      <c r="AZ272" s="69">
        <v>353664.0</v>
      </c>
      <c r="BA272" s="103" t="str">
        <f t="shared" si="132"/>
        <v>$100K - $500K</v>
      </c>
      <c r="BB272" s="103">
        <f t="shared" si="133"/>
        <v>0.01733566323</v>
      </c>
      <c r="BC272" s="103" t="str">
        <f t="shared" si="134"/>
        <v>&lt; 10%</v>
      </c>
      <c r="BD272" s="15" t="s">
        <v>41</v>
      </c>
      <c r="BF272" s="15" t="s">
        <v>493</v>
      </c>
      <c r="BG272" s="15">
        <v>1.0</v>
      </c>
      <c r="BH272" s="15">
        <v>2.0</v>
      </c>
      <c r="BI272" s="15" t="s">
        <v>469</v>
      </c>
      <c r="BJ272" s="15" t="s">
        <v>469</v>
      </c>
      <c r="BK272" s="15" t="s">
        <v>469</v>
      </c>
      <c r="BL272" s="15" t="s">
        <v>469</v>
      </c>
      <c r="BM272" s="15">
        <v>3.0</v>
      </c>
      <c r="BN272" s="15">
        <v>5.0</v>
      </c>
      <c r="BO272" s="15">
        <v>13.0</v>
      </c>
      <c r="BP272" s="15">
        <v>0.0</v>
      </c>
      <c r="BQ272" s="108"/>
      <c r="BR272" s="15">
        <v>0.0</v>
      </c>
      <c r="BS272" s="15">
        <v>0.0</v>
      </c>
      <c r="BT272" s="15">
        <v>0.0</v>
      </c>
      <c r="BU272" s="15">
        <v>42.0</v>
      </c>
      <c r="BV272" s="15" t="s">
        <v>469</v>
      </c>
      <c r="BW272" s="108"/>
      <c r="BX272" s="15">
        <v>0.0</v>
      </c>
      <c r="BY272" s="15">
        <v>1.0</v>
      </c>
      <c r="BZ272" s="15">
        <v>0.0</v>
      </c>
      <c r="CA272" s="15">
        <v>37.0</v>
      </c>
      <c r="CB272" s="15" t="s">
        <v>469</v>
      </c>
      <c r="CC272" s="108"/>
      <c r="CI272" s="108"/>
      <c r="CO272" s="108"/>
      <c r="CU272" s="108"/>
      <c r="DA272" s="108"/>
      <c r="DG272" s="108"/>
      <c r="DM272" s="108"/>
      <c r="DS272" s="108"/>
      <c r="DT272" s="108"/>
      <c r="DU272" s="108"/>
      <c r="DW272" s="109"/>
      <c r="DX272" s="110">
        <f t="shared" si="13"/>
        <v>0</v>
      </c>
      <c r="DY272" s="111">
        <f t="shared" ref="DY272:DZ272" si="603">sum(BS272,BY272,CE272,CK272,CQ272,CW272,DC272,DI272,DO272)</f>
        <v>1</v>
      </c>
      <c r="DZ272" s="111">
        <f t="shared" si="603"/>
        <v>0</v>
      </c>
      <c r="EA272" s="110">
        <f t="shared" si="15"/>
        <v>39.5</v>
      </c>
      <c r="EB272" s="99" t="str">
        <f t="shared" si="16"/>
        <v>35 - 54</v>
      </c>
      <c r="EC272" s="112"/>
      <c r="ED272" s="113">
        <f t="shared" si="17"/>
        <v>4</v>
      </c>
      <c r="EE272" s="114" t="str">
        <f>IF(V272 &lt;&gt; "", 1+((V272-MIN(discount_rates))*(4)/(MAX(discount_rates) - MIN(discount_rates))), "")</f>
        <v/>
      </c>
      <c r="EF272" s="114" t="str">
        <f>IF(Q272="Debt", (1+((S272-MIN(interest_rates))*(4)/(MAX(interest_rates) - MIN(interest_rates)))), "")</f>
        <v/>
      </c>
      <c r="EG272" s="114" t="str">
        <f>IF(OR(Q272="Revenue Share", Q272="Profit Share"), (1+((R272-MIN(return_mutiples))*(4)/(MAX(return_mutiples) - MIN(return_mutiples)))), "")</f>
        <v/>
      </c>
      <c r="EH272" s="115">
        <f t="shared" si="18"/>
        <v>4</v>
      </c>
      <c r="EI272" s="116" t="str">
        <f t="shared" si="19"/>
        <v>Equity - Common</v>
      </c>
      <c r="EJ272" s="117">
        <f t="shared" si="20"/>
        <v>0.3287671233</v>
      </c>
      <c r="EK272" s="116" t="str">
        <f t="shared" si="21"/>
        <v>Early</v>
      </c>
      <c r="EL272" s="112"/>
      <c r="EM272" s="118">
        <f t="shared" si="22"/>
        <v>5</v>
      </c>
      <c r="EN272" s="118">
        <f t="shared" si="23"/>
        <v>1.7</v>
      </c>
      <c r="EO272" s="119">
        <f t="shared" si="24"/>
        <v>6.7</v>
      </c>
      <c r="EP272" s="115">
        <f>1+((EO272-MIN(market_ratings_sums))*(4)/(MAX(market_ratings_sums) - MIN(market_ratings_sums)))</f>
        <v>3.807017544</v>
      </c>
      <c r="EQ272" s="116" t="str">
        <f t="shared" si="25"/>
        <v>Yes</v>
      </c>
      <c r="ER272" s="112"/>
      <c r="ES272" s="123">
        <f>1+((DX272-MIN(industry_experiences))*(4)/(MAX(industry_experiences) - MIN(industry_experiences)))</f>
        <v>1</v>
      </c>
      <c r="ET272" s="123">
        <f>1+((DY272-MIN(previous_startups))*(4)/(MAX(previous_startups) - MIN(previous_startups)))</f>
        <v>1.444444444</v>
      </c>
      <c r="EU272" s="123">
        <f>1+((DZ272-MIN(exits))*(4)/(MAX(exits) - MIN(exits)))</f>
        <v>1</v>
      </c>
      <c r="EV272" s="119">
        <f t="shared" si="26"/>
        <v>3.444444444</v>
      </c>
      <c r="EW272" s="124">
        <f>1+((EV272-MIN(team_ratings_sums))*(4)/(MAX(team_ratings_sums) - MIN(team_ratings_sums)))</f>
        <v>1.243478261</v>
      </c>
      <c r="EX272" s="116" t="str">
        <f t="shared" si="27"/>
        <v>35 - 54</v>
      </c>
      <c r="EY272" s="125">
        <f t="shared" si="28"/>
        <v>0.6849315068</v>
      </c>
      <c r="EZ272" s="116">
        <f t="shared" si="29"/>
        <v>2</v>
      </c>
      <c r="FA272" s="125">
        <f t="shared" si="30"/>
        <v>0.4520547945</v>
      </c>
      <c r="FB272" s="116">
        <f t="shared" si="31"/>
        <v>5</v>
      </c>
      <c r="FC272" s="125">
        <f t="shared" si="32"/>
        <v>0.1369863014</v>
      </c>
      <c r="FD272" s="116" t="str">
        <f t="shared" si="33"/>
        <v>No</v>
      </c>
      <c r="FE272" s="125">
        <f t="shared" si="34"/>
        <v>0.7534246575</v>
      </c>
      <c r="FF272" s="116" t="str">
        <f t="shared" ref="FF272:FH272" si="604">BJ272</f>
        <v>No</v>
      </c>
      <c r="FG272" s="116" t="str">
        <f t="shared" si="604"/>
        <v>No</v>
      </c>
      <c r="FH272" s="116" t="str">
        <f t="shared" si="604"/>
        <v>No</v>
      </c>
      <c r="FI272" s="112"/>
      <c r="FJ272" s="116" t="str">
        <f t="shared" si="36"/>
        <v>Transactional</v>
      </c>
      <c r="FK272" s="125">
        <f t="shared" si="37"/>
        <v>0.602739726</v>
      </c>
      <c r="FL272" s="116" t="str">
        <f t="shared" si="38"/>
        <v>B2B/B2C</v>
      </c>
      <c r="FM272" s="125">
        <f t="shared" si="39"/>
        <v>0.3287671233</v>
      </c>
      <c r="FN272" s="116" t="str">
        <f t="shared" si="40"/>
        <v>Low</v>
      </c>
      <c r="FO272" s="125">
        <f t="shared" si="41"/>
        <v>0.4383561644</v>
      </c>
      <c r="FP272" s="116" t="str">
        <f t="shared" si="42"/>
        <v>High</v>
      </c>
      <c r="FQ272" s="125">
        <f t="shared" si="43"/>
        <v>0.6438356164</v>
      </c>
      <c r="FR272" s="112"/>
      <c r="FS272" s="123">
        <f t="shared" si="44"/>
        <v>1</v>
      </c>
      <c r="FT272" s="123">
        <f t="shared" si="45"/>
        <v>1</v>
      </c>
      <c r="FU272" s="123">
        <f t="shared" si="46"/>
        <v>5</v>
      </c>
      <c r="FV272" s="123">
        <f t="shared" si="47"/>
        <v>3.7</v>
      </c>
      <c r="FW272" s="119">
        <f t="shared" si="48"/>
        <v>10.7</v>
      </c>
      <c r="FX272" s="115">
        <f>1+((FW272-MIN(performance_ratings_sums))*(4)/(MAX(performance_ratings_sums) - MIN(performance_ratings_sums)))</f>
        <v>2.495327103</v>
      </c>
      <c r="FY272" s="116" t="str">
        <f t="shared" si="49"/>
        <v>Pre-Product</v>
      </c>
      <c r="FZ272" s="126">
        <f t="shared" si="50"/>
        <v>0.2328767123</v>
      </c>
      <c r="GA272" s="112"/>
      <c r="GB272" s="127">
        <f t="shared" si="51"/>
        <v>5</v>
      </c>
      <c r="GC272" s="116" t="str">
        <f t="shared" si="52"/>
        <v>Yes</v>
      </c>
      <c r="GD272" s="126">
        <f t="shared" si="53"/>
        <v>0.2328767123</v>
      </c>
      <c r="GE272" s="126" t="str">
        <f t="shared" si="54"/>
        <v/>
      </c>
      <c r="GF272" s="126">
        <f t="shared" si="55"/>
        <v>0</v>
      </c>
      <c r="GG272" s="126" t="str">
        <f t="shared" si="56"/>
        <v/>
      </c>
      <c r="GH272" s="126">
        <f t="shared" si="57"/>
        <v>0</v>
      </c>
      <c r="GI272" s="112"/>
      <c r="GJ272" s="116"/>
      <c r="GK272" s="119">
        <f t="shared" si="58"/>
        <v>16.54582291</v>
      </c>
      <c r="GL272" s="128">
        <f>1+((GK272-MIN(ratings_sums))*(4)/(MAX(ratings_sums) - MIN(ratings_sums)))</f>
        <v>3.869515963</v>
      </c>
    </row>
    <row r="273" ht="15.75" customHeight="1">
      <c r="A273" s="161" t="s">
        <v>1128</v>
      </c>
      <c r="B273" s="15">
        <v>1446275.0</v>
      </c>
      <c r="C273" s="162" t="s">
        <v>1691</v>
      </c>
      <c r="D273" s="163">
        <v>43833.43819444445</v>
      </c>
      <c r="E273" s="15" t="s">
        <v>381</v>
      </c>
      <c r="F273" s="164" t="s">
        <v>1692</v>
      </c>
      <c r="G273" s="164" t="s">
        <v>1693</v>
      </c>
      <c r="H273" s="210">
        <v>43832.0</v>
      </c>
      <c r="I273" s="162" t="s">
        <v>1694</v>
      </c>
      <c r="J273" s="162" t="s">
        <v>1691</v>
      </c>
      <c r="K273" s="15" t="s">
        <v>543</v>
      </c>
      <c r="L273" s="15" t="s">
        <v>117</v>
      </c>
      <c r="M273" s="15" t="s">
        <v>81</v>
      </c>
      <c r="N273" s="15" t="s">
        <v>134</v>
      </c>
      <c r="O273" s="15" t="s">
        <v>35</v>
      </c>
      <c r="Q273" s="15" t="s">
        <v>121</v>
      </c>
      <c r="R273" s="166"/>
      <c r="S273" s="120"/>
      <c r="T273" s="69">
        <v>5.163301E7</v>
      </c>
      <c r="U273" s="69"/>
      <c r="V273" s="132"/>
      <c r="W273" s="96" t="str">
        <f t="shared" si="125"/>
        <v/>
      </c>
      <c r="X273" s="98">
        <f t="shared" si="126"/>
        <v>51633010</v>
      </c>
      <c r="Y273" s="99" t="str">
        <f t="shared" si="127"/>
        <v>&lt; $40M</v>
      </c>
      <c r="Z273" s="15" t="s">
        <v>36</v>
      </c>
      <c r="AA273" s="15" t="s">
        <v>123</v>
      </c>
      <c r="AB273" s="15" t="s">
        <v>88</v>
      </c>
      <c r="AC273" s="15" t="s">
        <v>493</v>
      </c>
      <c r="AD273" s="15" t="s">
        <v>89</v>
      </c>
      <c r="AE273" s="15" t="s">
        <v>39</v>
      </c>
      <c r="AF273" s="15" t="s">
        <v>493</v>
      </c>
      <c r="AG273" s="69">
        <v>2.185E11</v>
      </c>
      <c r="AH273" s="97" t="str">
        <f t="shared" si="128"/>
        <v>$100B-$250B</v>
      </c>
      <c r="AI273" s="69">
        <v>2.185E11</v>
      </c>
      <c r="AJ273" s="97" t="str">
        <f t="shared" si="129"/>
        <v>$100B-$250B</v>
      </c>
      <c r="AK273" s="167">
        <v>0.05</v>
      </c>
      <c r="AL273" s="88" t="str">
        <f t="shared" si="130"/>
        <v>0%-10%</v>
      </c>
      <c r="AM273" s="15">
        <v>25.0</v>
      </c>
      <c r="AN273" s="15" t="s">
        <v>39</v>
      </c>
      <c r="AO273" s="15" t="s">
        <v>39</v>
      </c>
      <c r="AP273" s="15" t="s">
        <v>90</v>
      </c>
      <c r="AQ273" s="168"/>
      <c r="AR273" s="168"/>
      <c r="AS273" s="15" t="s">
        <v>493</v>
      </c>
      <c r="AT273" s="15" t="s">
        <v>493</v>
      </c>
      <c r="AU273" s="15" t="s">
        <v>493</v>
      </c>
      <c r="AV273" s="15" t="s">
        <v>493</v>
      </c>
      <c r="AW273" s="69">
        <v>2840294.0</v>
      </c>
      <c r="AX273" s="96" t="str">
        <f t="shared" si="131"/>
        <v>$2M - $3M</v>
      </c>
      <c r="AY273" s="69">
        <v>79142.0</v>
      </c>
      <c r="AZ273" s="69">
        <v>2.1865751E7</v>
      </c>
      <c r="BA273" s="103" t="str">
        <f t="shared" si="132"/>
        <v>&gt; $5M</v>
      </c>
      <c r="BB273" s="103">
        <f t="shared" si="133"/>
        <v>0.003619450345</v>
      </c>
      <c r="BC273" s="103" t="str">
        <f t="shared" si="134"/>
        <v>&lt; 10%</v>
      </c>
      <c r="BD273" s="15" t="s">
        <v>107</v>
      </c>
      <c r="BF273" s="15" t="s">
        <v>493</v>
      </c>
      <c r="BG273" s="15">
        <v>2.0</v>
      </c>
      <c r="BH273" s="15">
        <v>2.0</v>
      </c>
      <c r="BI273" s="15" t="s">
        <v>493</v>
      </c>
      <c r="BJ273" s="15" t="s">
        <v>469</v>
      </c>
      <c r="BK273" s="15" t="s">
        <v>469</v>
      </c>
      <c r="BL273" s="15" t="s">
        <v>469</v>
      </c>
      <c r="BM273" s="15">
        <v>4.0</v>
      </c>
      <c r="BN273" s="15">
        <v>19.0</v>
      </c>
      <c r="BO273" s="15">
        <v>0.0</v>
      </c>
      <c r="BP273" s="15">
        <v>0.0</v>
      </c>
      <c r="BQ273" s="108"/>
      <c r="BR273" s="15">
        <v>9.0</v>
      </c>
      <c r="BS273" s="15">
        <v>0.0</v>
      </c>
      <c r="BT273" s="15">
        <v>0.0</v>
      </c>
      <c r="BU273" s="15">
        <v>39.0</v>
      </c>
      <c r="BV273" s="15" t="s">
        <v>493</v>
      </c>
      <c r="BW273" s="108"/>
      <c r="BX273" s="15">
        <v>16.0</v>
      </c>
      <c r="BY273" s="15">
        <v>0.0</v>
      </c>
      <c r="BZ273" s="15">
        <v>0.0</v>
      </c>
      <c r="CA273" s="15">
        <v>67.0</v>
      </c>
      <c r="CB273" s="15" t="s">
        <v>469</v>
      </c>
      <c r="CC273" s="108"/>
      <c r="CI273" s="108"/>
      <c r="CO273" s="108"/>
      <c r="CU273" s="108"/>
      <c r="DA273" s="108"/>
      <c r="DG273" s="108"/>
      <c r="DM273" s="108"/>
      <c r="DS273" s="108"/>
      <c r="DT273" s="108"/>
      <c r="DU273" s="108"/>
      <c r="DW273" s="109"/>
      <c r="DX273" s="110">
        <f t="shared" si="13"/>
        <v>12.5</v>
      </c>
      <c r="DY273" s="111">
        <f t="shared" ref="DY273:DZ273" si="605">sum(BS273,BY273,CE273,CK273,CQ273,CW273,DC273,DI273,DO273)</f>
        <v>0</v>
      </c>
      <c r="DZ273" s="111">
        <f t="shared" si="605"/>
        <v>0</v>
      </c>
      <c r="EA273" s="110">
        <f t="shared" si="15"/>
        <v>53</v>
      </c>
      <c r="EB273" s="99" t="str">
        <f t="shared" si="16"/>
        <v>35 - 54</v>
      </c>
      <c r="EC273" s="112"/>
      <c r="ED273" s="113">
        <f t="shared" si="17"/>
        <v>1</v>
      </c>
      <c r="EE273" s="114" t="str">
        <f>IF(V273 &lt;&gt; "", 1+((V273-MIN(discount_rates))*(4)/(MAX(discount_rates) - MIN(discount_rates))), "")</f>
        <v/>
      </c>
      <c r="EF273" s="114" t="str">
        <f>IF(Q273="Debt", (1+((S273-MIN(interest_rates))*(4)/(MAX(interest_rates) - MIN(interest_rates)))), "")</f>
        <v/>
      </c>
      <c r="EG273" s="114" t="str">
        <f>IF(OR(Q273="Revenue Share", Q273="Profit Share"), (1+((R273-MIN(return_mutiples))*(4)/(MAX(return_mutiples) - MIN(return_mutiples)))), "")</f>
        <v/>
      </c>
      <c r="EH273" s="115">
        <f t="shared" si="18"/>
        <v>1</v>
      </c>
      <c r="EI273" s="116" t="str">
        <f t="shared" si="19"/>
        <v>Equity - Common</v>
      </c>
      <c r="EJ273" s="117">
        <f t="shared" si="20"/>
        <v>0.3287671233</v>
      </c>
      <c r="EK273" s="116" t="str">
        <f t="shared" si="21"/>
        <v>Growth</v>
      </c>
      <c r="EL273" s="112"/>
      <c r="EM273" s="118">
        <f t="shared" si="22"/>
        <v>4.1</v>
      </c>
      <c r="EN273" s="118">
        <f t="shared" si="23"/>
        <v>1.7</v>
      </c>
      <c r="EO273" s="119">
        <f t="shared" si="24"/>
        <v>5.8</v>
      </c>
      <c r="EP273" s="115">
        <f>1+((EO273-MIN(market_ratings_sums))*(4)/(MAX(market_ratings_sums) - MIN(market_ratings_sums)))</f>
        <v>3.175438596</v>
      </c>
      <c r="EQ273" s="116" t="str">
        <f t="shared" si="25"/>
        <v>Yes</v>
      </c>
      <c r="ER273" s="112"/>
      <c r="ES273" s="123">
        <f>1+((DX273-MIN(industry_experiences))*(4)/(MAX(industry_experiences) - MIN(industry_experiences)))</f>
        <v>2.19047619</v>
      </c>
      <c r="ET273" s="123">
        <f>1+((DY273-MIN(previous_startups))*(4)/(MAX(previous_startups) - MIN(previous_startups)))</f>
        <v>1</v>
      </c>
      <c r="EU273" s="123">
        <f>1+((DZ273-MIN(exits))*(4)/(MAX(exits) - MIN(exits)))</f>
        <v>1</v>
      </c>
      <c r="EV273" s="119">
        <f t="shared" si="26"/>
        <v>4.19047619</v>
      </c>
      <c r="EW273" s="124">
        <f>1+((EV273-MIN(team_ratings_sums))*(4)/(MAX(team_ratings_sums) - MIN(team_ratings_sums)))</f>
        <v>1.652173913</v>
      </c>
      <c r="EX273" s="116" t="str">
        <f t="shared" si="27"/>
        <v>35 - 54</v>
      </c>
      <c r="EY273" s="125">
        <f t="shared" si="28"/>
        <v>0.6849315068</v>
      </c>
      <c r="EZ273" s="116">
        <f t="shared" si="29"/>
        <v>2</v>
      </c>
      <c r="FA273" s="125">
        <f t="shared" si="30"/>
        <v>0.4520547945</v>
      </c>
      <c r="FB273" s="116">
        <f t="shared" si="31"/>
        <v>19</v>
      </c>
      <c r="FC273" s="125">
        <f t="shared" si="32"/>
        <v>0.01369863014</v>
      </c>
      <c r="FD273" s="116" t="str">
        <f t="shared" si="33"/>
        <v>Yes</v>
      </c>
      <c r="FE273" s="125">
        <f t="shared" si="34"/>
        <v>0.2465753425</v>
      </c>
      <c r="FF273" s="116" t="str">
        <f t="shared" ref="FF273:FH273" si="606">BJ273</f>
        <v>No</v>
      </c>
      <c r="FG273" s="116" t="str">
        <f t="shared" si="606"/>
        <v>No</v>
      </c>
      <c r="FH273" s="116" t="str">
        <f t="shared" si="606"/>
        <v>No</v>
      </c>
      <c r="FI273" s="112"/>
      <c r="FJ273" s="116" t="str">
        <f t="shared" si="36"/>
        <v>Transactional</v>
      </c>
      <c r="FK273" s="125">
        <f t="shared" si="37"/>
        <v>0.602739726</v>
      </c>
      <c r="FL273" s="116" t="str">
        <f t="shared" si="38"/>
        <v>B2B/B2C</v>
      </c>
      <c r="FM273" s="125">
        <f t="shared" si="39"/>
        <v>0.3287671233</v>
      </c>
      <c r="FN273" s="116" t="str">
        <f t="shared" si="40"/>
        <v>Low</v>
      </c>
      <c r="FO273" s="125">
        <f t="shared" si="41"/>
        <v>0.4383561644</v>
      </c>
      <c r="FP273" s="116" t="str">
        <f t="shared" si="42"/>
        <v>High</v>
      </c>
      <c r="FQ273" s="125">
        <f t="shared" si="43"/>
        <v>0.6438356164</v>
      </c>
      <c r="FR273" s="112"/>
      <c r="FS273" s="123">
        <f t="shared" si="44"/>
        <v>5</v>
      </c>
      <c r="FT273" s="123">
        <f t="shared" si="45"/>
        <v>3.7</v>
      </c>
      <c r="FU273" s="123">
        <f t="shared" si="46"/>
        <v>5</v>
      </c>
      <c r="FV273" s="123">
        <f t="shared" si="47"/>
        <v>1</v>
      </c>
      <c r="FW273" s="119">
        <f t="shared" si="48"/>
        <v>14.7</v>
      </c>
      <c r="FX273" s="115">
        <f>1+((FW273-MIN(performance_ratings_sums))*(4)/(MAX(performance_ratings_sums) - MIN(performance_ratings_sums)))</f>
        <v>3.990654206</v>
      </c>
      <c r="FY273" s="116" t="str">
        <f t="shared" si="49"/>
        <v>Pre-Profit</v>
      </c>
      <c r="FZ273" s="126">
        <f t="shared" si="50"/>
        <v>0.4931506849</v>
      </c>
      <c r="GA273" s="112"/>
      <c r="GB273" s="127">
        <f t="shared" si="51"/>
        <v>5</v>
      </c>
      <c r="GC273" s="116" t="str">
        <f t="shared" si="52"/>
        <v>Yes</v>
      </c>
      <c r="GD273" s="126">
        <f t="shared" si="53"/>
        <v>0.2328767123</v>
      </c>
      <c r="GE273" s="126" t="str">
        <f t="shared" si="54"/>
        <v/>
      </c>
      <c r="GF273" s="126">
        <f t="shared" si="55"/>
        <v>0</v>
      </c>
      <c r="GG273" s="126" t="str">
        <f t="shared" si="56"/>
        <v/>
      </c>
      <c r="GH273" s="126">
        <f t="shared" si="57"/>
        <v>0</v>
      </c>
      <c r="GI273" s="112"/>
      <c r="GJ273" s="116"/>
      <c r="GK273" s="119">
        <f t="shared" si="58"/>
        <v>14.81826672</v>
      </c>
      <c r="GL273" s="128">
        <f>1+((GK273-MIN(ratings_sums))*(4)/(MAX(ratings_sums) - MIN(ratings_sums)))</f>
        <v>3.339432677</v>
      </c>
    </row>
    <row r="274" ht="15.75" customHeight="1">
      <c r="A274" s="161" t="s">
        <v>1128</v>
      </c>
      <c r="B274" s="15">
        <v>1777274.0</v>
      </c>
      <c r="C274" s="162" t="s">
        <v>1695</v>
      </c>
      <c r="D274" s="163">
        <v>43836.47430555556</v>
      </c>
      <c r="E274" s="15" t="s">
        <v>640</v>
      </c>
      <c r="F274" s="164" t="s">
        <v>1696</v>
      </c>
      <c r="G274" s="164" t="s">
        <v>1697</v>
      </c>
      <c r="H274" s="210">
        <v>43887.0</v>
      </c>
      <c r="I274" s="162" t="s">
        <v>1698</v>
      </c>
      <c r="J274" s="162" t="s">
        <v>1695</v>
      </c>
      <c r="K274" s="15" t="s">
        <v>490</v>
      </c>
      <c r="L274" s="15" t="s">
        <v>362</v>
      </c>
      <c r="M274" s="15" t="s">
        <v>31</v>
      </c>
      <c r="N274" s="15" t="s">
        <v>82</v>
      </c>
      <c r="O274" s="15" t="s">
        <v>35</v>
      </c>
      <c r="Q274" s="15" t="s">
        <v>195</v>
      </c>
      <c r="R274" s="166"/>
      <c r="S274" s="120"/>
      <c r="T274" s="69"/>
      <c r="U274" s="69">
        <v>5000000.0</v>
      </c>
      <c r="V274" s="132">
        <v>0.2</v>
      </c>
      <c r="W274" s="96">
        <f t="shared" si="125"/>
        <v>4000000</v>
      </c>
      <c r="X274" s="98">
        <f t="shared" si="126"/>
        <v>4000000</v>
      </c>
      <c r="Y274" s="99" t="str">
        <f t="shared" si="127"/>
        <v>$2M - $4M</v>
      </c>
      <c r="Z274" s="15" t="s">
        <v>36</v>
      </c>
      <c r="AA274" s="15" t="s">
        <v>123</v>
      </c>
      <c r="AB274" s="15" t="s">
        <v>88</v>
      </c>
      <c r="AC274" s="15" t="s">
        <v>493</v>
      </c>
      <c r="AD274" s="15" t="s">
        <v>39</v>
      </c>
      <c r="AE274" s="15" t="s">
        <v>89</v>
      </c>
      <c r="AF274" s="15" t="s">
        <v>493</v>
      </c>
      <c r="AG274" s="69">
        <v>2.145E10</v>
      </c>
      <c r="AH274" s="97" t="str">
        <f t="shared" si="128"/>
        <v>$10B-$25B</v>
      </c>
      <c r="AI274" s="69">
        <v>2.145E10</v>
      </c>
      <c r="AJ274" s="97" t="str">
        <f t="shared" si="129"/>
        <v>$10B-$25B</v>
      </c>
      <c r="AK274" s="167">
        <v>0.04</v>
      </c>
      <c r="AL274" s="88" t="str">
        <f t="shared" si="130"/>
        <v>0%-10%</v>
      </c>
      <c r="AM274" s="15">
        <v>20.0</v>
      </c>
      <c r="AN274" s="15" t="s">
        <v>39</v>
      </c>
      <c r="AO274" s="15" t="s">
        <v>39</v>
      </c>
      <c r="AP274" s="15" t="s">
        <v>90</v>
      </c>
      <c r="AQ274" s="168"/>
      <c r="AR274" s="168"/>
      <c r="AS274" s="15" t="s">
        <v>493</v>
      </c>
      <c r="AT274" s="15" t="s">
        <v>493</v>
      </c>
      <c r="AU274" s="15" t="s">
        <v>469</v>
      </c>
      <c r="AV274" s="15" t="s">
        <v>469</v>
      </c>
      <c r="AW274" s="69">
        <v>0.0</v>
      </c>
      <c r="AX274" s="96" t="str">
        <f t="shared" si="131"/>
        <v>&lt; $10K</v>
      </c>
      <c r="AY274" s="69">
        <v>5508.0</v>
      </c>
      <c r="AZ274" s="69">
        <v>60000.0</v>
      </c>
      <c r="BA274" s="103" t="str">
        <f t="shared" si="132"/>
        <v>$50K - $100K</v>
      </c>
      <c r="BB274" s="103">
        <f t="shared" si="133"/>
        <v>0.0918</v>
      </c>
      <c r="BC274" s="103" t="str">
        <f t="shared" si="134"/>
        <v>&lt; 10%</v>
      </c>
      <c r="BD274" s="15" t="s">
        <v>91</v>
      </c>
      <c r="BF274" s="15" t="s">
        <v>493</v>
      </c>
      <c r="BG274" s="15">
        <v>1.0</v>
      </c>
      <c r="BH274" s="15">
        <v>1.0</v>
      </c>
      <c r="BI274" s="15" t="s">
        <v>493</v>
      </c>
      <c r="BJ274" s="15" t="s">
        <v>469</v>
      </c>
      <c r="BK274" s="15" t="s">
        <v>493</v>
      </c>
      <c r="BL274" s="15" t="s">
        <v>469</v>
      </c>
      <c r="BM274" s="15">
        <v>2.0</v>
      </c>
      <c r="BN274" s="15">
        <v>1.0</v>
      </c>
      <c r="BO274" s="15">
        <v>6.0</v>
      </c>
      <c r="BP274" s="15">
        <v>0.0</v>
      </c>
      <c r="BQ274" s="108"/>
      <c r="BR274" s="15">
        <v>13.0</v>
      </c>
      <c r="BS274" s="15">
        <v>0.0</v>
      </c>
      <c r="BT274" s="15">
        <v>0.0</v>
      </c>
      <c r="BU274" s="15">
        <v>42.0</v>
      </c>
      <c r="BV274" s="15" t="s">
        <v>493</v>
      </c>
      <c r="BW274" s="108"/>
      <c r="CC274" s="108"/>
      <c r="CI274" s="108"/>
      <c r="CO274" s="108"/>
      <c r="CU274" s="108"/>
      <c r="DA274" s="108"/>
      <c r="DG274" s="108"/>
      <c r="DM274" s="108"/>
      <c r="DS274" s="108"/>
      <c r="DT274" s="108"/>
      <c r="DU274" s="108"/>
      <c r="DW274" s="109"/>
      <c r="DX274" s="110">
        <f t="shared" si="13"/>
        <v>13</v>
      </c>
      <c r="DY274" s="111">
        <f t="shared" ref="DY274:DZ274" si="607">sum(BS274,BY274,CE274,CK274,CQ274,CW274,DC274,DI274,DO274)</f>
        <v>0</v>
      </c>
      <c r="DZ274" s="111">
        <f t="shared" si="607"/>
        <v>0</v>
      </c>
      <c r="EA274" s="110">
        <f t="shared" si="15"/>
        <v>42</v>
      </c>
      <c r="EB274" s="99" t="str">
        <f t="shared" si="16"/>
        <v>35 - 54</v>
      </c>
      <c r="EC274" s="112"/>
      <c r="ED274" s="113">
        <f t="shared" si="17"/>
        <v>4.6</v>
      </c>
      <c r="EE274" s="114">
        <f>IF(V274 &lt;&gt; "", 1+((V274-MIN(discount_rates))*(4)/(MAX(discount_rates) - MIN(discount_rates))), "")</f>
        <v>3.105263158</v>
      </c>
      <c r="EF274" s="114" t="str">
        <f>IF(Q274="Debt", (1+((S274-MIN(interest_rates))*(4)/(MAX(interest_rates) - MIN(interest_rates)))), "")</f>
        <v/>
      </c>
      <c r="EG274" s="114" t="str">
        <f>IF(OR(Q274="Revenue Share", Q274="Profit Share"), (1+((R274-MIN(return_mutiples))*(4)/(MAX(return_mutiples) - MIN(return_mutiples)))), "")</f>
        <v/>
      </c>
      <c r="EH274" s="115">
        <f t="shared" si="18"/>
        <v>4.6</v>
      </c>
      <c r="EI274" s="116" t="str">
        <f t="shared" si="19"/>
        <v>SAFE</v>
      </c>
      <c r="EJ274" s="117">
        <f t="shared" si="20"/>
        <v>0.3561643836</v>
      </c>
      <c r="EK274" s="116" t="str">
        <f t="shared" si="21"/>
        <v>Early</v>
      </c>
      <c r="EL274" s="112"/>
      <c r="EM274" s="118">
        <f t="shared" si="22"/>
        <v>3.3</v>
      </c>
      <c r="EN274" s="118">
        <f t="shared" si="23"/>
        <v>1.7</v>
      </c>
      <c r="EO274" s="119">
        <f t="shared" si="24"/>
        <v>5</v>
      </c>
      <c r="EP274" s="115">
        <f>1+((EO274-MIN(market_ratings_sums))*(4)/(MAX(market_ratings_sums) - MIN(market_ratings_sums)))</f>
        <v>2.614035088</v>
      </c>
      <c r="EQ274" s="116" t="str">
        <f t="shared" si="25"/>
        <v>Yes</v>
      </c>
      <c r="ER274" s="112"/>
      <c r="ES274" s="123">
        <f>1+((DX274-MIN(industry_experiences))*(4)/(MAX(industry_experiences) - MIN(industry_experiences)))</f>
        <v>2.238095238</v>
      </c>
      <c r="ET274" s="123">
        <f>1+((DY274-MIN(previous_startups))*(4)/(MAX(previous_startups) - MIN(previous_startups)))</f>
        <v>1</v>
      </c>
      <c r="EU274" s="123">
        <f>1+((DZ274-MIN(exits))*(4)/(MAX(exits) - MIN(exits)))</f>
        <v>1</v>
      </c>
      <c r="EV274" s="119">
        <f t="shared" si="26"/>
        <v>4.238095238</v>
      </c>
      <c r="EW274" s="124">
        <f>1+((EV274-MIN(team_ratings_sums))*(4)/(MAX(team_ratings_sums) - MIN(team_ratings_sums)))</f>
        <v>1.67826087</v>
      </c>
      <c r="EX274" s="116" t="str">
        <f t="shared" si="27"/>
        <v>35 - 54</v>
      </c>
      <c r="EY274" s="125">
        <f t="shared" si="28"/>
        <v>0.6849315068</v>
      </c>
      <c r="EZ274" s="116">
        <f t="shared" si="29"/>
        <v>1</v>
      </c>
      <c r="FA274" s="125">
        <f t="shared" si="30"/>
        <v>0.4383561644</v>
      </c>
      <c r="FB274" s="116">
        <f t="shared" si="31"/>
        <v>1</v>
      </c>
      <c r="FC274" s="125">
        <f t="shared" si="32"/>
        <v>0.08219178082</v>
      </c>
      <c r="FD274" s="116" t="str">
        <f t="shared" si="33"/>
        <v>Yes</v>
      </c>
      <c r="FE274" s="125">
        <f t="shared" si="34"/>
        <v>0.2465753425</v>
      </c>
      <c r="FF274" s="116" t="str">
        <f t="shared" ref="FF274:FH274" si="608">BJ274</f>
        <v>No</v>
      </c>
      <c r="FG274" s="116" t="str">
        <f t="shared" si="608"/>
        <v>Yes</v>
      </c>
      <c r="FH274" s="116" t="str">
        <f t="shared" si="608"/>
        <v>No</v>
      </c>
      <c r="FI274" s="112"/>
      <c r="FJ274" s="116" t="str">
        <f t="shared" si="36"/>
        <v>Transactional</v>
      </c>
      <c r="FK274" s="125">
        <f t="shared" si="37"/>
        <v>0.602739726</v>
      </c>
      <c r="FL274" s="116" t="str">
        <f t="shared" si="38"/>
        <v>B2B/B2C</v>
      </c>
      <c r="FM274" s="125">
        <f t="shared" si="39"/>
        <v>0.3287671233</v>
      </c>
      <c r="FN274" s="116" t="str">
        <f t="shared" si="40"/>
        <v>High</v>
      </c>
      <c r="FO274" s="125">
        <f t="shared" si="41"/>
        <v>0.5616438356</v>
      </c>
      <c r="FP274" s="116" t="str">
        <f t="shared" si="42"/>
        <v>Low</v>
      </c>
      <c r="FQ274" s="125">
        <f t="shared" si="43"/>
        <v>0.3561643836</v>
      </c>
      <c r="FR274" s="112"/>
      <c r="FS274" s="123">
        <f t="shared" si="44"/>
        <v>1</v>
      </c>
      <c r="FT274" s="123">
        <f t="shared" si="45"/>
        <v>1</v>
      </c>
      <c r="FU274" s="123">
        <f t="shared" si="46"/>
        <v>5</v>
      </c>
      <c r="FV274" s="123">
        <f t="shared" si="47"/>
        <v>4.1</v>
      </c>
      <c r="FW274" s="119">
        <f t="shared" si="48"/>
        <v>11.1</v>
      </c>
      <c r="FX274" s="115">
        <f>1+((FW274-MIN(performance_ratings_sums))*(4)/(MAX(performance_ratings_sums) - MIN(performance_ratings_sums)))</f>
        <v>2.644859813</v>
      </c>
      <c r="FY274" s="116" t="str">
        <f t="shared" si="49"/>
        <v>Pre-Revenue</v>
      </c>
      <c r="FZ274" s="126">
        <f t="shared" si="50"/>
        <v>0.2054794521</v>
      </c>
      <c r="GA274" s="112"/>
      <c r="GB274" s="127">
        <f t="shared" si="51"/>
        <v>5</v>
      </c>
      <c r="GC274" s="116" t="str">
        <f t="shared" si="52"/>
        <v>Yes</v>
      </c>
      <c r="GD274" s="126">
        <f t="shared" si="53"/>
        <v>0.2328767123</v>
      </c>
      <c r="GE274" s="126" t="str">
        <f t="shared" si="54"/>
        <v/>
      </c>
      <c r="GF274" s="126">
        <f t="shared" si="55"/>
        <v>0</v>
      </c>
      <c r="GG274" s="126" t="str">
        <f t="shared" si="56"/>
        <v/>
      </c>
      <c r="GH274" s="126">
        <f t="shared" si="57"/>
        <v>0</v>
      </c>
      <c r="GI274" s="112"/>
      <c r="GJ274" s="116"/>
      <c r="GK274" s="119">
        <f t="shared" si="58"/>
        <v>16.53715577</v>
      </c>
      <c r="GL274" s="128">
        <f>1+((GK274-MIN(ratings_sums))*(4)/(MAX(ratings_sums) - MIN(ratings_sums)))</f>
        <v>3.866856539</v>
      </c>
    </row>
    <row r="275" ht="15.75" customHeight="1">
      <c r="A275" s="161"/>
      <c r="B275" s="15"/>
      <c r="C275" s="162"/>
      <c r="D275" s="163"/>
      <c r="E275" s="15"/>
      <c r="F275" s="211"/>
      <c r="G275" s="211"/>
      <c r="H275" s="210"/>
      <c r="I275" s="162"/>
      <c r="J275" s="162"/>
      <c r="K275" s="15"/>
      <c r="L275" s="15"/>
      <c r="M275" s="15"/>
      <c r="N275" s="15"/>
      <c r="O275" s="15"/>
      <c r="Q275" s="15"/>
      <c r="R275" s="166"/>
      <c r="S275" s="120"/>
      <c r="T275" s="69"/>
      <c r="U275" s="69"/>
      <c r="V275" s="132"/>
      <c r="W275" s="69"/>
      <c r="X275" s="99"/>
      <c r="Y275" s="99"/>
      <c r="Z275" s="15"/>
      <c r="AA275" s="15"/>
      <c r="AB275" s="15"/>
      <c r="AC275" s="15"/>
      <c r="AD275" s="15"/>
      <c r="AE275" s="15"/>
      <c r="AF275" s="15"/>
      <c r="AG275" s="69"/>
      <c r="AH275" s="97"/>
      <c r="AI275" s="69"/>
      <c r="AJ275" s="97"/>
      <c r="AK275" s="167"/>
      <c r="AL275" s="15"/>
      <c r="AM275" s="15"/>
      <c r="AN275" s="15"/>
      <c r="AO275" s="15"/>
      <c r="AP275" s="15"/>
      <c r="AQ275" s="168"/>
      <c r="AR275" s="168"/>
      <c r="AS275" s="15"/>
      <c r="AT275" s="15"/>
      <c r="AU275" s="15"/>
      <c r="AV275" s="15"/>
      <c r="AW275" s="69"/>
      <c r="AX275" s="69"/>
      <c r="AY275" s="69"/>
      <c r="AZ275" s="69"/>
      <c r="BA275" s="103"/>
      <c r="BB275" s="103"/>
      <c r="BC275" s="15"/>
      <c r="BD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08"/>
      <c r="BR275" s="15"/>
      <c r="BS275" s="15"/>
      <c r="BT275" s="15"/>
      <c r="BU275" s="15"/>
      <c r="BV275" s="15"/>
      <c r="BW275" s="108"/>
      <c r="CC275" s="108"/>
      <c r="CI275" s="108"/>
      <c r="CO275" s="108"/>
      <c r="CU275" s="108"/>
      <c r="DA275" s="108"/>
      <c r="DG275" s="108"/>
      <c r="DM275" s="108"/>
      <c r="DS275" s="108"/>
      <c r="DT275" s="108"/>
      <c r="DU275" s="108"/>
      <c r="DW275" s="109"/>
      <c r="DX275" s="110"/>
      <c r="DY275" s="111"/>
      <c r="DZ275" s="111"/>
      <c r="EA275" s="110"/>
      <c r="EB275" s="99"/>
      <c r="EC275" s="112"/>
      <c r="ED275" s="113"/>
      <c r="EE275" s="114"/>
      <c r="EF275" s="114"/>
      <c r="EG275" s="114"/>
      <c r="EH275" s="115"/>
      <c r="EI275" s="116"/>
      <c r="EJ275" s="117"/>
      <c r="EK275" s="116"/>
      <c r="EL275" s="112"/>
      <c r="EM275" s="118"/>
      <c r="EN275" s="123"/>
      <c r="EO275" s="119"/>
      <c r="EP275" s="115"/>
      <c r="EQ275" s="116"/>
      <c r="ER275" s="112"/>
      <c r="ES275" s="123"/>
      <c r="ET275" s="123"/>
      <c r="EU275" s="123"/>
      <c r="EV275" s="119"/>
      <c r="EW275" s="115"/>
      <c r="EX275" s="116"/>
      <c r="EY275" s="125"/>
      <c r="EZ275" s="116"/>
      <c r="FA275" s="125"/>
      <c r="FB275" s="116"/>
      <c r="FC275" s="125"/>
      <c r="FD275" s="116"/>
      <c r="FE275" s="125"/>
      <c r="FF275" s="116"/>
      <c r="FG275" s="116"/>
      <c r="FH275" s="116"/>
      <c r="FI275" s="112"/>
      <c r="FJ275" s="116"/>
      <c r="FK275" s="125"/>
      <c r="FL275" s="116"/>
      <c r="FM275" s="125"/>
      <c r="FN275" s="116"/>
      <c r="FO275" s="125"/>
      <c r="FP275" s="116"/>
      <c r="FQ275" s="125"/>
      <c r="FR275" s="112"/>
      <c r="FS275" s="123"/>
      <c r="FT275" s="123"/>
      <c r="FU275" s="123"/>
      <c r="FV275" s="123"/>
      <c r="FW275" s="119"/>
      <c r="FX275" s="115"/>
      <c r="FY275" s="116"/>
      <c r="FZ275" s="126"/>
      <c r="GA275" s="112"/>
      <c r="GB275" s="127"/>
      <c r="GC275" s="116"/>
      <c r="GD275" s="126"/>
      <c r="GE275" s="126"/>
      <c r="GF275" s="126"/>
      <c r="GG275" s="126"/>
      <c r="GH275" s="126"/>
      <c r="GI275" s="112"/>
      <c r="GJ275" s="116"/>
      <c r="GK275" s="112"/>
      <c r="GL275" s="128"/>
    </row>
    <row r="276" ht="15.75" customHeight="1">
      <c r="A276" s="161"/>
      <c r="B276" s="15"/>
      <c r="C276" s="162"/>
      <c r="D276" s="163"/>
      <c r="E276" s="15"/>
      <c r="F276" s="211"/>
      <c r="G276" s="211"/>
      <c r="H276" s="210"/>
      <c r="I276" s="162"/>
      <c r="J276" s="162"/>
      <c r="K276" s="15"/>
      <c r="L276" s="15"/>
      <c r="M276" s="15"/>
      <c r="N276" s="15"/>
      <c r="O276" s="15"/>
      <c r="Q276" s="15"/>
      <c r="R276" s="166"/>
      <c r="S276" s="120"/>
      <c r="T276" s="69"/>
      <c r="U276" s="69"/>
      <c r="V276" s="132"/>
      <c r="W276" s="69"/>
      <c r="X276" s="99"/>
      <c r="Y276" s="99"/>
      <c r="Z276" s="15"/>
      <c r="AA276" s="15"/>
      <c r="AB276" s="15"/>
      <c r="AC276" s="15"/>
      <c r="AD276" s="15"/>
      <c r="AE276" s="15"/>
      <c r="AF276" s="15"/>
      <c r="AG276" s="69"/>
      <c r="AH276" s="97"/>
      <c r="AI276" s="69"/>
      <c r="AJ276" s="97"/>
      <c r="AK276" s="167"/>
      <c r="AL276" s="15"/>
      <c r="AM276" s="15"/>
      <c r="AN276" s="15"/>
      <c r="AO276" s="15"/>
      <c r="AP276" s="15"/>
      <c r="AQ276" s="168"/>
      <c r="AR276" s="168"/>
      <c r="AS276" s="15"/>
      <c r="AT276" s="15"/>
      <c r="AU276" s="15"/>
      <c r="AV276" s="15"/>
      <c r="AW276" s="69"/>
      <c r="AX276" s="69"/>
      <c r="AY276" s="69"/>
      <c r="AZ276" s="69"/>
      <c r="BA276" s="103"/>
      <c r="BB276" s="103"/>
      <c r="BC276" s="15"/>
      <c r="BD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08"/>
      <c r="BR276" s="15"/>
      <c r="BS276" s="15"/>
      <c r="BT276" s="15"/>
      <c r="BU276" s="15"/>
      <c r="BV276" s="15"/>
      <c r="BW276" s="108"/>
      <c r="CC276" s="108"/>
      <c r="CI276" s="108"/>
      <c r="CO276" s="108"/>
      <c r="CU276" s="108"/>
      <c r="DA276" s="108"/>
      <c r="DG276" s="108"/>
      <c r="DM276" s="108"/>
      <c r="DS276" s="108"/>
      <c r="DT276" s="108"/>
      <c r="DU276" s="108"/>
      <c r="DW276" s="109"/>
      <c r="DX276" s="110"/>
      <c r="DY276" s="111"/>
      <c r="DZ276" s="111"/>
      <c r="EA276" s="110"/>
      <c r="EB276" s="99"/>
      <c r="EC276" s="112"/>
      <c r="ED276" s="113"/>
      <c r="EE276" s="114"/>
      <c r="EF276" s="114"/>
      <c r="EG276" s="114"/>
      <c r="EH276" s="115"/>
      <c r="EI276" s="116"/>
      <c r="EJ276" s="117"/>
      <c r="EK276" s="116"/>
      <c r="EL276" s="112"/>
      <c r="EM276" s="118"/>
      <c r="EN276" s="123"/>
      <c r="EO276" s="119"/>
      <c r="EP276" s="115"/>
      <c r="EQ276" s="116"/>
      <c r="ER276" s="112"/>
      <c r="ES276" s="123"/>
      <c r="ET276" s="123"/>
      <c r="EU276" s="123"/>
      <c r="EV276" s="119"/>
      <c r="EW276" s="115"/>
      <c r="EX276" s="116"/>
      <c r="EY276" s="125"/>
      <c r="EZ276" s="116"/>
      <c r="FA276" s="125"/>
      <c r="FB276" s="116"/>
      <c r="FC276" s="125"/>
      <c r="FD276" s="116"/>
      <c r="FE276" s="125"/>
      <c r="FF276" s="116"/>
      <c r="FG276" s="116"/>
      <c r="FH276" s="116"/>
      <c r="FI276" s="112"/>
      <c r="FJ276" s="116"/>
      <c r="FK276" s="125"/>
      <c r="FL276" s="116"/>
      <c r="FM276" s="125"/>
      <c r="FN276" s="116"/>
      <c r="FO276" s="125"/>
      <c r="FP276" s="116"/>
      <c r="FQ276" s="125"/>
      <c r="FR276" s="112"/>
      <c r="FS276" s="123"/>
      <c r="FT276" s="123"/>
      <c r="FU276" s="123"/>
      <c r="FV276" s="123"/>
      <c r="FW276" s="119"/>
      <c r="FX276" s="115"/>
      <c r="FY276" s="116"/>
      <c r="FZ276" s="126"/>
      <c r="GA276" s="112"/>
      <c r="GB276" s="127"/>
      <c r="GC276" s="116"/>
      <c r="GD276" s="126"/>
      <c r="GE276" s="126"/>
      <c r="GF276" s="126"/>
      <c r="GG276" s="126"/>
      <c r="GH276" s="126"/>
      <c r="GI276" s="112"/>
      <c r="GJ276" s="116"/>
      <c r="GK276" s="112"/>
      <c r="GL276" s="128"/>
    </row>
    <row r="277" ht="15.75" customHeight="1">
      <c r="A277" s="161"/>
      <c r="B277" s="15"/>
      <c r="C277" s="162"/>
      <c r="D277" s="163"/>
      <c r="E277" s="15"/>
      <c r="F277" s="211"/>
      <c r="G277" s="211"/>
      <c r="H277" s="210"/>
      <c r="I277" s="162"/>
      <c r="J277" s="162"/>
      <c r="K277" s="15"/>
      <c r="L277" s="15"/>
      <c r="M277" s="15"/>
      <c r="N277" s="15"/>
      <c r="O277" s="15"/>
      <c r="Q277" s="15"/>
      <c r="R277" s="166"/>
      <c r="S277" s="120"/>
      <c r="T277" s="69"/>
      <c r="U277" s="69"/>
      <c r="V277" s="132"/>
      <c r="W277" s="69"/>
      <c r="X277" s="99"/>
      <c r="Y277" s="99"/>
      <c r="Z277" s="15"/>
      <c r="AA277" s="15"/>
      <c r="AB277" s="15"/>
      <c r="AC277" s="15"/>
      <c r="AD277" s="15"/>
      <c r="AE277" s="15"/>
      <c r="AF277" s="15"/>
      <c r="AG277" s="69"/>
      <c r="AH277" s="97"/>
      <c r="AI277" s="69"/>
      <c r="AJ277" s="97"/>
      <c r="AK277" s="167"/>
      <c r="AL277" s="15"/>
      <c r="AM277" s="15"/>
      <c r="AN277" s="15"/>
      <c r="AO277" s="15"/>
      <c r="AP277" s="15"/>
      <c r="AQ277" s="168"/>
      <c r="AR277" s="168"/>
      <c r="AS277" s="15"/>
      <c r="AT277" s="15"/>
      <c r="AU277" s="15"/>
      <c r="AV277" s="15"/>
      <c r="AW277" s="69"/>
      <c r="AX277" s="69"/>
      <c r="AY277" s="69"/>
      <c r="AZ277" s="69"/>
      <c r="BA277" s="103"/>
      <c r="BB277" s="103"/>
      <c r="BC277" s="15"/>
      <c r="BD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08"/>
      <c r="BR277" s="15"/>
      <c r="BS277" s="15"/>
      <c r="BT277" s="15"/>
      <c r="BU277" s="15"/>
      <c r="BV277" s="15"/>
      <c r="BW277" s="108"/>
      <c r="CC277" s="108"/>
      <c r="CI277" s="108"/>
      <c r="CO277" s="108"/>
      <c r="CU277" s="108"/>
      <c r="DA277" s="108"/>
      <c r="DG277" s="108"/>
      <c r="DM277" s="108"/>
      <c r="DS277" s="108"/>
      <c r="DT277" s="108"/>
      <c r="DU277" s="108"/>
      <c r="DW277" s="109"/>
      <c r="DX277" s="110"/>
      <c r="DY277" s="111"/>
      <c r="DZ277" s="111"/>
      <c r="EA277" s="110"/>
      <c r="EB277" s="99"/>
      <c r="EC277" s="112"/>
      <c r="ED277" s="113"/>
      <c r="EE277" s="114"/>
      <c r="EF277" s="114"/>
      <c r="EG277" s="114"/>
      <c r="EH277" s="115"/>
      <c r="EI277" s="116"/>
      <c r="EJ277" s="117"/>
      <c r="EK277" s="116"/>
      <c r="EL277" s="112"/>
      <c r="EM277" s="118"/>
      <c r="EN277" s="123"/>
      <c r="EO277" s="119"/>
      <c r="EP277" s="115"/>
      <c r="EQ277" s="116"/>
      <c r="ER277" s="112"/>
      <c r="ES277" s="123"/>
      <c r="ET277" s="123"/>
      <c r="EU277" s="123"/>
      <c r="EV277" s="119"/>
      <c r="EW277" s="115"/>
      <c r="EX277" s="116"/>
      <c r="EY277" s="125"/>
      <c r="EZ277" s="116"/>
      <c r="FA277" s="125"/>
      <c r="FB277" s="116"/>
      <c r="FC277" s="125"/>
      <c r="FD277" s="116"/>
      <c r="FE277" s="125"/>
      <c r="FF277" s="116"/>
      <c r="FG277" s="116"/>
      <c r="FH277" s="116"/>
      <c r="FI277" s="112"/>
      <c r="FJ277" s="116"/>
      <c r="FK277" s="125"/>
      <c r="FL277" s="116"/>
      <c r="FM277" s="125"/>
      <c r="FN277" s="116"/>
      <c r="FO277" s="125"/>
      <c r="FP277" s="116"/>
      <c r="FQ277" s="125"/>
      <c r="FR277" s="112"/>
      <c r="FS277" s="123"/>
      <c r="FT277" s="123"/>
      <c r="FU277" s="123"/>
      <c r="FV277" s="123"/>
      <c r="FW277" s="119"/>
      <c r="FX277" s="115"/>
      <c r="FY277" s="116"/>
      <c r="FZ277" s="126"/>
      <c r="GA277" s="112"/>
      <c r="GB277" s="127"/>
      <c r="GC277" s="116"/>
      <c r="GD277" s="126"/>
      <c r="GE277" s="126"/>
      <c r="GF277" s="126"/>
      <c r="GG277" s="126"/>
      <c r="GH277" s="126"/>
      <c r="GI277" s="112"/>
      <c r="GJ277" s="116"/>
      <c r="GK277" s="112"/>
      <c r="GL277" s="128"/>
    </row>
    <row r="278" ht="15.75" customHeight="1">
      <c r="A278" s="161"/>
      <c r="B278" s="15"/>
      <c r="C278" s="162"/>
      <c r="D278" s="163"/>
      <c r="E278" s="15"/>
      <c r="F278" s="211"/>
      <c r="G278" s="211"/>
      <c r="H278" s="210"/>
      <c r="I278" s="162"/>
      <c r="J278" s="162"/>
      <c r="K278" s="15"/>
      <c r="L278" s="15"/>
      <c r="M278" s="15"/>
      <c r="N278" s="15"/>
      <c r="O278" s="15"/>
      <c r="Q278" s="15"/>
      <c r="R278" s="166"/>
      <c r="S278" s="120"/>
      <c r="T278" s="69"/>
      <c r="U278" s="69"/>
      <c r="V278" s="132"/>
      <c r="W278" s="69"/>
      <c r="X278" s="99"/>
      <c r="Y278" s="99"/>
      <c r="Z278" s="15"/>
      <c r="AA278" s="15"/>
      <c r="AB278" s="15"/>
      <c r="AC278" s="15"/>
      <c r="AD278" s="15"/>
      <c r="AE278" s="15"/>
      <c r="AF278" s="15"/>
      <c r="AG278" s="69"/>
      <c r="AH278" s="97"/>
      <c r="AI278" s="69"/>
      <c r="AJ278" s="97"/>
      <c r="AK278" s="167"/>
      <c r="AL278" s="15"/>
      <c r="AM278" s="15"/>
      <c r="AN278" s="15"/>
      <c r="AO278" s="15"/>
      <c r="AP278" s="15"/>
      <c r="AQ278" s="168"/>
      <c r="AR278" s="168"/>
      <c r="AS278" s="15"/>
      <c r="AT278" s="15"/>
      <c r="AU278" s="15"/>
      <c r="AV278" s="15"/>
      <c r="AW278" s="69"/>
      <c r="AX278" s="69"/>
      <c r="AY278" s="69"/>
      <c r="AZ278" s="69"/>
      <c r="BA278" s="103"/>
      <c r="BB278" s="103"/>
      <c r="BC278" s="15"/>
      <c r="BD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08"/>
      <c r="BR278" s="15"/>
      <c r="BS278" s="15"/>
      <c r="BT278" s="15"/>
      <c r="BU278" s="15"/>
      <c r="BV278" s="15"/>
      <c r="BW278" s="108"/>
      <c r="CC278" s="108"/>
      <c r="CI278" s="108"/>
      <c r="CO278" s="108"/>
      <c r="CU278" s="108"/>
      <c r="DA278" s="108"/>
      <c r="DG278" s="108"/>
      <c r="DM278" s="108"/>
      <c r="DS278" s="108"/>
      <c r="DT278" s="108"/>
      <c r="DU278" s="108"/>
      <c r="DW278" s="109"/>
      <c r="DX278" s="110"/>
      <c r="DY278" s="111"/>
      <c r="DZ278" s="111"/>
      <c r="EA278" s="110"/>
      <c r="EB278" s="99"/>
      <c r="EC278" s="112"/>
      <c r="ED278" s="113"/>
      <c r="EE278" s="114"/>
      <c r="EF278" s="114"/>
      <c r="EG278" s="114"/>
      <c r="EH278" s="115"/>
      <c r="EI278" s="116"/>
      <c r="EJ278" s="117"/>
      <c r="EK278" s="116"/>
      <c r="EL278" s="112"/>
      <c r="EM278" s="118"/>
      <c r="EN278" s="123"/>
      <c r="EO278" s="119"/>
      <c r="EP278" s="115"/>
      <c r="EQ278" s="116"/>
      <c r="ER278" s="112"/>
      <c r="ES278" s="123"/>
      <c r="ET278" s="123"/>
      <c r="EU278" s="123"/>
      <c r="EV278" s="119"/>
      <c r="EW278" s="115"/>
      <c r="EX278" s="116"/>
      <c r="EY278" s="125"/>
      <c r="EZ278" s="116"/>
      <c r="FA278" s="125"/>
      <c r="FB278" s="116"/>
      <c r="FC278" s="125"/>
      <c r="FD278" s="116"/>
      <c r="FE278" s="125"/>
      <c r="FF278" s="116"/>
      <c r="FG278" s="116"/>
      <c r="FH278" s="116"/>
      <c r="FI278" s="112"/>
      <c r="FJ278" s="116"/>
      <c r="FK278" s="125"/>
      <c r="FL278" s="116"/>
      <c r="FM278" s="125"/>
      <c r="FN278" s="116"/>
      <c r="FO278" s="125"/>
      <c r="FP278" s="116"/>
      <c r="FQ278" s="125"/>
      <c r="FR278" s="112"/>
      <c r="FS278" s="123"/>
      <c r="FT278" s="123"/>
      <c r="FU278" s="123"/>
      <c r="FV278" s="123"/>
      <c r="FW278" s="119"/>
      <c r="FX278" s="115"/>
      <c r="FY278" s="116"/>
      <c r="FZ278" s="126"/>
      <c r="GA278" s="112"/>
      <c r="GB278" s="127"/>
      <c r="GC278" s="116"/>
      <c r="GD278" s="126"/>
      <c r="GE278" s="126"/>
      <c r="GF278" s="126"/>
      <c r="GG278" s="126"/>
      <c r="GH278" s="126"/>
      <c r="GI278" s="112"/>
      <c r="GJ278" s="116"/>
      <c r="GK278" s="112"/>
      <c r="GL278" s="128"/>
    </row>
    <row r="279" ht="15.75" customHeight="1">
      <c r="A279" s="161"/>
      <c r="B279" s="15"/>
      <c r="C279" s="162"/>
      <c r="D279" s="163"/>
      <c r="E279" s="15"/>
      <c r="F279" s="211"/>
      <c r="G279" s="211"/>
      <c r="H279" s="210"/>
      <c r="I279" s="162"/>
      <c r="J279" s="162"/>
      <c r="K279" s="15"/>
      <c r="L279" s="15"/>
      <c r="M279" s="15"/>
      <c r="N279" s="15"/>
      <c r="O279" s="15"/>
      <c r="Q279" s="15"/>
      <c r="R279" s="166"/>
      <c r="S279" s="120"/>
      <c r="T279" s="69"/>
      <c r="U279" s="69"/>
      <c r="V279" s="132"/>
      <c r="W279" s="69"/>
      <c r="X279" s="99"/>
      <c r="Y279" s="99"/>
      <c r="Z279" s="15"/>
      <c r="AA279" s="15"/>
      <c r="AB279" s="15"/>
      <c r="AC279" s="15"/>
      <c r="AD279" s="15"/>
      <c r="AE279" s="15"/>
      <c r="AF279" s="15"/>
      <c r="AG279" s="69"/>
      <c r="AH279" s="97"/>
      <c r="AI279" s="69"/>
      <c r="AJ279" s="97"/>
      <c r="AK279" s="167"/>
      <c r="AL279" s="15"/>
      <c r="AM279" s="15"/>
      <c r="AN279" s="15"/>
      <c r="AO279" s="15"/>
      <c r="AP279" s="15"/>
      <c r="AQ279" s="168"/>
      <c r="AR279" s="168"/>
      <c r="AS279" s="15"/>
      <c r="AT279" s="15"/>
      <c r="AU279" s="15"/>
      <c r="AV279" s="15"/>
      <c r="AW279" s="69"/>
      <c r="AX279" s="69"/>
      <c r="AY279" s="69"/>
      <c r="AZ279" s="69"/>
      <c r="BA279" s="103"/>
      <c r="BB279" s="103"/>
      <c r="BC279" s="15"/>
      <c r="BD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08"/>
      <c r="BR279" s="15"/>
      <c r="BS279" s="15"/>
      <c r="BT279" s="15"/>
      <c r="BU279" s="15"/>
      <c r="BV279" s="15"/>
      <c r="BW279" s="108"/>
      <c r="CC279" s="108"/>
      <c r="CI279" s="108"/>
      <c r="CO279" s="108"/>
      <c r="CU279" s="108"/>
      <c r="DA279" s="108"/>
      <c r="DG279" s="108"/>
      <c r="DM279" s="108"/>
      <c r="DS279" s="108"/>
      <c r="DT279" s="108"/>
      <c r="DU279" s="108"/>
      <c r="DW279" s="109"/>
      <c r="DX279" s="110"/>
      <c r="DY279" s="111"/>
      <c r="DZ279" s="111"/>
      <c r="EA279" s="110"/>
      <c r="EB279" s="99"/>
      <c r="EC279" s="112"/>
      <c r="ED279" s="113"/>
      <c r="EE279" s="114"/>
      <c r="EF279" s="114"/>
      <c r="EG279" s="114"/>
      <c r="EH279" s="115"/>
      <c r="EI279" s="116"/>
      <c r="EJ279" s="117"/>
      <c r="EK279" s="116"/>
      <c r="EL279" s="112"/>
      <c r="EM279" s="118"/>
      <c r="EN279" s="123"/>
      <c r="EO279" s="119"/>
      <c r="EP279" s="115"/>
      <c r="EQ279" s="116"/>
      <c r="ER279" s="112"/>
      <c r="ES279" s="123"/>
      <c r="ET279" s="123"/>
      <c r="EU279" s="123"/>
      <c r="EV279" s="119"/>
      <c r="EW279" s="115"/>
      <c r="EX279" s="116"/>
      <c r="EY279" s="125"/>
      <c r="EZ279" s="116"/>
      <c r="FA279" s="125"/>
      <c r="FB279" s="116"/>
      <c r="FC279" s="125"/>
      <c r="FD279" s="116"/>
      <c r="FE279" s="125"/>
      <c r="FF279" s="116"/>
      <c r="FG279" s="116"/>
      <c r="FH279" s="116"/>
      <c r="FI279" s="112"/>
      <c r="FJ279" s="116"/>
      <c r="FK279" s="125"/>
      <c r="FL279" s="116"/>
      <c r="FM279" s="125"/>
      <c r="FN279" s="116"/>
      <c r="FO279" s="125"/>
      <c r="FP279" s="116"/>
      <c r="FQ279" s="125"/>
      <c r="FR279" s="112"/>
      <c r="FS279" s="123"/>
      <c r="FT279" s="123"/>
      <c r="FU279" s="123"/>
      <c r="FV279" s="123"/>
      <c r="FW279" s="119"/>
      <c r="FX279" s="115"/>
      <c r="FY279" s="116"/>
      <c r="FZ279" s="126"/>
      <c r="GA279" s="112"/>
      <c r="GB279" s="127"/>
      <c r="GC279" s="116"/>
      <c r="GD279" s="126"/>
      <c r="GE279" s="126"/>
      <c r="GF279" s="126"/>
      <c r="GG279" s="126"/>
      <c r="GH279" s="126"/>
      <c r="GI279" s="112"/>
      <c r="GJ279" s="116"/>
      <c r="GK279" s="112"/>
      <c r="GL279" s="128"/>
    </row>
    <row r="280" ht="15.75" customHeight="1">
      <c r="A280" s="161"/>
      <c r="B280" s="15"/>
      <c r="C280" s="162"/>
      <c r="D280" s="163"/>
      <c r="E280" s="15"/>
      <c r="F280" s="211"/>
      <c r="G280" s="211"/>
      <c r="H280" s="210"/>
      <c r="I280" s="162"/>
      <c r="J280" s="162"/>
      <c r="K280" s="15"/>
      <c r="L280" s="15"/>
      <c r="M280" s="15"/>
      <c r="N280" s="15"/>
      <c r="O280" s="15"/>
      <c r="Q280" s="15"/>
      <c r="R280" s="166"/>
      <c r="S280" s="120"/>
      <c r="T280" s="69"/>
      <c r="U280" s="69"/>
      <c r="V280" s="132"/>
      <c r="W280" s="69"/>
      <c r="X280" s="99"/>
      <c r="Y280" s="99"/>
      <c r="Z280" s="15"/>
      <c r="AA280" s="15"/>
      <c r="AB280" s="15"/>
      <c r="AC280" s="15"/>
      <c r="AD280" s="15"/>
      <c r="AE280" s="15"/>
      <c r="AF280" s="15"/>
      <c r="AG280" s="69"/>
      <c r="AH280" s="97"/>
      <c r="AI280" s="69"/>
      <c r="AJ280" s="97"/>
      <c r="AK280" s="167"/>
      <c r="AL280" s="15"/>
      <c r="AM280" s="15"/>
      <c r="AN280" s="15"/>
      <c r="AO280" s="15"/>
      <c r="AP280" s="15"/>
      <c r="AQ280" s="168"/>
      <c r="AR280" s="168"/>
      <c r="AS280" s="15"/>
      <c r="AT280" s="15"/>
      <c r="AU280" s="15"/>
      <c r="AV280" s="15"/>
      <c r="AW280" s="69"/>
      <c r="AX280" s="69"/>
      <c r="AY280" s="69"/>
      <c r="AZ280" s="69"/>
      <c r="BA280" s="103"/>
      <c r="BB280" s="103"/>
      <c r="BC280" s="15"/>
      <c r="BD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08"/>
      <c r="BR280" s="15"/>
      <c r="BS280" s="15"/>
      <c r="BT280" s="15"/>
      <c r="BU280" s="15"/>
      <c r="BV280" s="15"/>
      <c r="BW280" s="108"/>
      <c r="CC280" s="108"/>
      <c r="CI280" s="108"/>
      <c r="CO280" s="108"/>
      <c r="CU280" s="108"/>
      <c r="DA280" s="108"/>
      <c r="DG280" s="108"/>
      <c r="DM280" s="108"/>
      <c r="DS280" s="108"/>
      <c r="DT280" s="108"/>
      <c r="DU280" s="108"/>
      <c r="DW280" s="109"/>
      <c r="DX280" s="110"/>
      <c r="DY280" s="111"/>
      <c r="DZ280" s="111"/>
      <c r="EA280" s="110"/>
      <c r="EB280" s="99"/>
      <c r="EC280" s="112"/>
      <c r="ED280" s="113"/>
      <c r="EE280" s="114"/>
      <c r="EF280" s="114"/>
      <c r="EG280" s="114"/>
      <c r="EH280" s="115"/>
      <c r="EI280" s="116"/>
      <c r="EJ280" s="117"/>
      <c r="EK280" s="116"/>
      <c r="EL280" s="112"/>
      <c r="EM280" s="118"/>
      <c r="EN280" s="123"/>
      <c r="EO280" s="119"/>
      <c r="EP280" s="115"/>
      <c r="EQ280" s="116"/>
      <c r="ER280" s="112"/>
      <c r="ES280" s="123"/>
      <c r="ET280" s="123"/>
      <c r="EU280" s="123"/>
      <c r="EV280" s="119"/>
      <c r="EW280" s="115"/>
      <c r="EX280" s="116"/>
      <c r="EY280" s="125"/>
      <c r="EZ280" s="116"/>
      <c r="FA280" s="125"/>
      <c r="FB280" s="116"/>
      <c r="FC280" s="125"/>
      <c r="FD280" s="116"/>
      <c r="FE280" s="125"/>
      <c r="FF280" s="116"/>
      <c r="FG280" s="116"/>
      <c r="FH280" s="116"/>
      <c r="FI280" s="112"/>
      <c r="FJ280" s="116"/>
      <c r="FK280" s="125"/>
      <c r="FL280" s="116"/>
      <c r="FM280" s="125"/>
      <c r="FN280" s="116"/>
      <c r="FO280" s="125"/>
      <c r="FP280" s="116"/>
      <c r="FQ280" s="125"/>
      <c r="FR280" s="112"/>
      <c r="FS280" s="123"/>
      <c r="FT280" s="123"/>
      <c r="FU280" s="123"/>
      <c r="FV280" s="123"/>
      <c r="FW280" s="119"/>
      <c r="FX280" s="115"/>
      <c r="FY280" s="116"/>
      <c r="FZ280" s="126"/>
      <c r="GA280" s="112"/>
      <c r="GB280" s="127"/>
      <c r="GC280" s="116"/>
      <c r="GD280" s="126"/>
      <c r="GE280" s="126"/>
      <c r="GF280" s="126"/>
      <c r="GG280" s="126"/>
      <c r="GH280" s="126"/>
      <c r="GI280" s="112"/>
      <c r="GJ280" s="116"/>
      <c r="GK280" s="112"/>
      <c r="GL280" s="128"/>
    </row>
    <row r="281" ht="15.75" customHeight="1">
      <c r="A281" s="161"/>
      <c r="B281" s="15"/>
      <c r="C281" s="162"/>
      <c r="D281" s="163"/>
      <c r="E281" s="15"/>
      <c r="F281" s="211"/>
      <c r="G281" s="211"/>
      <c r="H281" s="210"/>
      <c r="I281" s="162"/>
      <c r="J281" s="162"/>
      <c r="K281" s="15"/>
      <c r="L281" s="15"/>
      <c r="M281" s="15"/>
      <c r="N281" s="15"/>
      <c r="O281" s="15"/>
      <c r="Q281" s="15"/>
      <c r="R281" s="166"/>
      <c r="S281" s="120"/>
      <c r="T281" s="69"/>
      <c r="U281" s="69"/>
      <c r="V281" s="132"/>
      <c r="W281" s="69"/>
      <c r="X281" s="99"/>
      <c r="Y281" s="99"/>
      <c r="Z281" s="15"/>
      <c r="AA281" s="15"/>
      <c r="AB281" s="15"/>
      <c r="AC281" s="15"/>
      <c r="AD281" s="15"/>
      <c r="AE281" s="15"/>
      <c r="AF281" s="15"/>
      <c r="AG281" s="69"/>
      <c r="AH281" s="97"/>
      <c r="AI281" s="69"/>
      <c r="AJ281" s="97"/>
      <c r="AK281" s="167"/>
      <c r="AL281" s="15"/>
      <c r="AM281" s="15"/>
      <c r="AN281" s="15"/>
      <c r="AO281" s="15"/>
      <c r="AP281" s="15"/>
      <c r="AQ281" s="168"/>
      <c r="AR281" s="168"/>
      <c r="AS281" s="15"/>
      <c r="AT281" s="15"/>
      <c r="AU281" s="15"/>
      <c r="AV281" s="15"/>
      <c r="AW281" s="69"/>
      <c r="AX281" s="69"/>
      <c r="AY281" s="69"/>
      <c r="AZ281" s="69"/>
      <c r="BA281" s="103"/>
      <c r="BB281" s="103"/>
      <c r="BC281" s="15"/>
      <c r="BD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08"/>
      <c r="BR281" s="15"/>
      <c r="BS281" s="15"/>
      <c r="BT281" s="15"/>
      <c r="BU281" s="15"/>
      <c r="BV281" s="15"/>
      <c r="BW281" s="108"/>
      <c r="CC281" s="108"/>
      <c r="CI281" s="108"/>
      <c r="CO281" s="108"/>
      <c r="CU281" s="108"/>
      <c r="DA281" s="108"/>
      <c r="DG281" s="108"/>
      <c r="DM281" s="108"/>
      <c r="DS281" s="108"/>
      <c r="DT281" s="108"/>
      <c r="DU281" s="108"/>
      <c r="DW281" s="109"/>
      <c r="DX281" s="110"/>
      <c r="DY281" s="111"/>
      <c r="DZ281" s="111"/>
      <c r="EA281" s="110"/>
      <c r="EB281" s="99"/>
      <c r="EC281" s="112"/>
      <c r="ED281" s="113"/>
      <c r="EE281" s="114"/>
      <c r="EF281" s="114"/>
      <c r="EG281" s="114"/>
      <c r="EH281" s="115"/>
      <c r="EI281" s="116"/>
      <c r="EJ281" s="117"/>
      <c r="EK281" s="116"/>
      <c r="EL281" s="112"/>
      <c r="EM281" s="118"/>
      <c r="EN281" s="123"/>
      <c r="EO281" s="119"/>
      <c r="EP281" s="115"/>
      <c r="EQ281" s="116"/>
      <c r="ER281" s="112"/>
      <c r="ES281" s="123"/>
      <c r="ET281" s="123"/>
      <c r="EU281" s="123"/>
      <c r="EV281" s="119"/>
      <c r="EW281" s="115"/>
      <c r="EX281" s="116"/>
      <c r="EY281" s="125"/>
      <c r="EZ281" s="116"/>
      <c r="FA281" s="125"/>
      <c r="FB281" s="116"/>
      <c r="FC281" s="125"/>
      <c r="FD281" s="116"/>
      <c r="FE281" s="125"/>
      <c r="FF281" s="116"/>
      <c r="FG281" s="116"/>
      <c r="FH281" s="116"/>
      <c r="FI281" s="112"/>
      <c r="FJ281" s="116"/>
      <c r="FK281" s="125"/>
      <c r="FL281" s="116"/>
      <c r="FM281" s="125"/>
      <c r="FN281" s="116"/>
      <c r="FO281" s="125"/>
      <c r="FP281" s="116"/>
      <c r="FQ281" s="125"/>
      <c r="FR281" s="112"/>
      <c r="FS281" s="123"/>
      <c r="FT281" s="123"/>
      <c r="FU281" s="123"/>
      <c r="FV281" s="123"/>
      <c r="FW281" s="119"/>
      <c r="FX281" s="115"/>
      <c r="FY281" s="116"/>
      <c r="FZ281" s="126"/>
      <c r="GA281" s="112"/>
      <c r="GB281" s="127"/>
      <c r="GC281" s="116"/>
      <c r="GD281" s="126"/>
      <c r="GE281" s="126"/>
      <c r="GF281" s="126"/>
      <c r="GG281" s="126"/>
      <c r="GH281" s="126"/>
      <c r="GI281" s="112"/>
      <c r="GJ281" s="116"/>
      <c r="GK281" s="112"/>
      <c r="GL281" s="128"/>
    </row>
    <row r="282" ht="15.75" customHeight="1">
      <c r="A282" s="161"/>
      <c r="B282" s="15"/>
      <c r="C282" s="162"/>
      <c r="D282" s="163"/>
      <c r="E282" s="15"/>
      <c r="F282" s="211"/>
      <c r="G282" s="211"/>
      <c r="H282" s="210"/>
      <c r="I282" s="162"/>
      <c r="J282" s="162"/>
      <c r="K282" s="15"/>
      <c r="L282" s="15"/>
      <c r="M282" s="15"/>
      <c r="N282" s="15"/>
      <c r="O282" s="15"/>
      <c r="Q282" s="15"/>
      <c r="R282" s="166"/>
      <c r="S282" s="120"/>
      <c r="T282" s="69"/>
      <c r="U282" s="69"/>
      <c r="V282" s="132"/>
      <c r="W282" s="69"/>
      <c r="X282" s="99"/>
      <c r="Y282" s="99"/>
      <c r="Z282" s="15"/>
      <c r="AA282" s="15"/>
      <c r="AB282" s="15"/>
      <c r="AC282" s="15"/>
      <c r="AD282" s="15"/>
      <c r="AE282" s="15"/>
      <c r="AF282" s="15"/>
      <c r="AG282" s="69"/>
      <c r="AH282" s="97"/>
      <c r="AI282" s="69"/>
      <c r="AJ282" s="97"/>
      <c r="AK282" s="167"/>
      <c r="AL282" s="15"/>
      <c r="AM282" s="15"/>
      <c r="AN282" s="15"/>
      <c r="AO282" s="15"/>
      <c r="AP282" s="15"/>
      <c r="AQ282" s="168"/>
      <c r="AR282" s="168"/>
      <c r="AS282" s="15"/>
      <c r="AT282" s="15"/>
      <c r="AU282" s="15"/>
      <c r="AV282" s="15"/>
      <c r="AW282" s="69"/>
      <c r="AX282" s="69"/>
      <c r="AY282" s="69"/>
      <c r="AZ282" s="69"/>
      <c r="BA282" s="103"/>
      <c r="BB282" s="103"/>
      <c r="BC282" s="15"/>
      <c r="BD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08"/>
      <c r="BR282" s="15"/>
      <c r="BS282" s="15"/>
      <c r="BT282" s="15"/>
      <c r="BU282" s="15"/>
      <c r="BV282" s="15"/>
      <c r="BW282" s="108"/>
      <c r="CC282" s="108"/>
      <c r="CI282" s="108"/>
      <c r="CO282" s="108"/>
      <c r="CU282" s="108"/>
      <c r="DA282" s="108"/>
      <c r="DG282" s="108"/>
      <c r="DM282" s="108"/>
      <c r="DS282" s="108"/>
      <c r="DT282" s="108"/>
      <c r="DU282" s="108"/>
      <c r="DW282" s="109"/>
      <c r="DX282" s="110"/>
      <c r="DY282" s="111"/>
      <c r="DZ282" s="111"/>
      <c r="EA282" s="110"/>
      <c r="EB282" s="99"/>
      <c r="EC282" s="112"/>
      <c r="ED282" s="113"/>
      <c r="EE282" s="114"/>
      <c r="EF282" s="114"/>
      <c r="EG282" s="114"/>
      <c r="EH282" s="115"/>
      <c r="EI282" s="116"/>
      <c r="EJ282" s="117"/>
      <c r="EK282" s="116"/>
      <c r="EL282" s="112"/>
      <c r="EM282" s="118"/>
      <c r="EN282" s="123"/>
      <c r="EO282" s="119"/>
      <c r="EP282" s="115"/>
      <c r="EQ282" s="116"/>
      <c r="ER282" s="112"/>
      <c r="ES282" s="123"/>
      <c r="ET282" s="123"/>
      <c r="EU282" s="123"/>
      <c r="EV282" s="119"/>
      <c r="EW282" s="115"/>
      <c r="EX282" s="116"/>
      <c r="EY282" s="125"/>
      <c r="EZ282" s="116"/>
      <c r="FA282" s="125"/>
      <c r="FB282" s="116"/>
      <c r="FC282" s="125"/>
      <c r="FD282" s="116"/>
      <c r="FE282" s="125"/>
      <c r="FF282" s="116"/>
      <c r="FG282" s="116"/>
      <c r="FH282" s="116"/>
      <c r="FI282" s="112"/>
      <c r="FJ282" s="116"/>
      <c r="FK282" s="125"/>
      <c r="FL282" s="116"/>
      <c r="FM282" s="125"/>
      <c r="FN282" s="116"/>
      <c r="FO282" s="125"/>
      <c r="FP282" s="116"/>
      <c r="FQ282" s="125"/>
      <c r="FR282" s="112"/>
      <c r="FS282" s="123"/>
      <c r="FT282" s="123"/>
      <c r="FU282" s="123"/>
      <c r="FV282" s="123"/>
      <c r="FW282" s="119"/>
      <c r="FX282" s="115"/>
      <c r="FY282" s="116"/>
      <c r="FZ282" s="126"/>
      <c r="GA282" s="112"/>
      <c r="GB282" s="127"/>
      <c r="GC282" s="116"/>
      <c r="GD282" s="126"/>
      <c r="GE282" s="126"/>
      <c r="GF282" s="126"/>
      <c r="GG282" s="126"/>
      <c r="GH282" s="126"/>
      <c r="GI282" s="112"/>
      <c r="GJ282" s="116"/>
      <c r="GK282" s="112"/>
      <c r="GL282" s="128"/>
    </row>
    <row r="283" ht="15.75" customHeight="1">
      <c r="A283" s="161"/>
      <c r="B283" s="15"/>
      <c r="C283" s="162"/>
      <c r="D283" s="163"/>
      <c r="E283" s="15"/>
      <c r="F283" s="211"/>
      <c r="G283" s="211"/>
      <c r="H283" s="210"/>
      <c r="I283" s="162"/>
      <c r="J283" s="162"/>
      <c r="K283" s="15"/>
      <c r="L283" s="15"/>
      <c r="M283" s="15"/>
      <c r="N283" s="15"/>
      <c r="O283" s="15"/>
      <c r="Q283" s="15"/>
      <c r="R283" s="166"/>
      <c r="S283" s="120"/>
      <c r="T283" s="69"/>
      <c r="U283" s="69"/>
      <c r="V283" s="132"/>
      <c r="W283" s="69"/>
      <c r="X283" s="99"/>
      <c r="Y283" s="99"/>
      <c r="Z283" s="15"/>
      <c r="AA283" s="15"/>
      <c r="AB283" s="15"/>
      <c r="AC283" s="15"/>
      <c r="AD283" s="15"/>
      <c r="AE283" s="15"/>
      <c r="AF283" s="15"/>
      <c r="AG283" s="69"/>
      <c r="AH283" s="97"/>
      <c r="AI283" s="69"/>
      <c r="AJ283" s="97"/>
      <c r="AK283" s="167"/>
      <c r="AL283" s="15"/>
      <c r="AM283" s="15"/>
      <c r="AN283" s="15"/>
      <c r="AO283" s="15"/>
      <c r="AP283" s="15"/>
      <c r="AQ283" s="168"/>
      <c r="AR283" s="168"/>
      <c r="AS283" s="15"/>
      <c r="AT283" s="15"/>
      <c r="AU283" s="15"/>
      <c r="AV283" s="15"/>
      <c r="AW283" s="69"/>
      <c r="AX283" s="69"/>
      <c r="AY283" s="69"/>
      <c r="AZ283" s="69"/>
      <c r="BA283" s="103"/>
      <c r="BB283" s="103"/>
      <c r="BC283" s="15"/>
      <c r="BD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08"/>
      <c r="BR283" s="15"/>
      <c r="BS283" s="15"/>
      <c r="BT283" s="15"/>
      <c r="BU283" s="15"/>
      <c r="BV283" s="15"/>
      <c r="BW283" s="108"/>
      <c r="CC283" s="108"/>
      <c r="CI283" s="108"/>
      <c r="CO283" s="108"/>
      <c r="CU283" s="108"/>
      <c r="DA283" s="108"/>
      <c r="DG283" s="108"/>
      <c r="DM283" s="108"/>
      <c r="DS283" s="108"/>
      <c r="DT283" s="108"/>
      <c r="DU283" s="108"/>
      <c r="DW283" s="109"/>
      <c r="DX283" s="110"/>
      <c r="DY283" s="111"/>
      <c r="DZ283" s="111"/>
      <c r="EA283" s="110"/>
      <c r="EB283" s="99"/>
      <c r="EC283" s="112"/>
      <c r="ED283" s="113"/>
      <c r="EE283" s="114"/>
      <c r="EF283" s="114"/>
      <c r="EG283" s="114"/>
      <c r="EH283" s="115"/>
      <c r="EI283" s="116"/>
      <c r="EJ283" s="117"/>
      <c r="EK283" s="116"/>
      <c r="EL283" s="112"/>
      <c r="EM283" s="118"/>
      <c r="EN283" s="123"/>
      <c r="EO283" s="119"/>
      <c r="EP283" s="115"/>
      <c r="EQ283" s="116"/>
      <c r="ER283" s="112"/>
      <c r="ES283" s="123"/>
      <c r="ET283" s="123"/>
      <c r="EU283" s="123"/>
      <c r="EV283" s="119"/>
      <c r="EW283" s="115"/>
      <c r="EX283" s="116"/>
      <c r="EY283" s="125"/>
      <c r="EZ283" s="116"/>
      <c r="FA283" s="125"/>
      <c r="FB283" s="116"/>
      <c r="FC283" s="125"/>
      <c r="FD283" s="116"/>
      <c r="FE283" s="125"/>
      <c r="FF283" s="116"/>
      <c r="FG283" s="116"/>
      <c r="FH283" s="116"/>
      <c r="FI283" s="112"/>
      <c r="FJ283" s="116"/>
      <c r="FK283" s="125"/>
      <c r="FL283" s="116"/>
      <c r="FM283" s="125"/>
      <c r="FN283" s="116"/>
      <c r="FO283" s="125"/>
      <c r="FP283" s="116"/>
      <c r="FQ283" s="125"/>
      <c r="FR283" s="112"/>
      <c r="FS283" s="123"/>
      <c r="FT283" s="123"/>
      <c r="FU283" s="123"/>
      <c r="FV283" s="123"/>
      <c r="FW283" s="119"/>
      <c r="FX283" s="115"/>
      <c r="FY283" s="116"/>
      <c r="FZ283" s="126"/>
      <c r="GA283" s="112"/>
      <c r="GB283" s="127"/>
      <c r="GC283" s="116"/>
      <c r="GD283" s="126"/>
      <c r="GE283" s="126"/>
      <c r="GF283" s="126"/>
      <c r="GG283" s="126"/>
      <c r="GH283" s="126"/>
      <c r="GI283" s="112"/>
      <c r="GJ283" s="116"/>
      <c r="GK283" s="112"/>
      <c r="GL283" s="128"/>
    </row>
    <row r="284" ht="15.75" customHeight="1">
      <c r="A284" s="161"/>
      <c r="B284" s="15"/>
      <c r="C284" s="162"/>
      <c r="D284" s="163"/>
      <c r="E284" s="15"/>
      <c r="F284" s="211"/>
      <c r="G284" s="211"/>
      <c r="H284" s="210"/>
      <c r="I284" s="162"/>
      <c r="J284" s="162"/>
      <c r="K284" s="15"/>
      <c r="L284" s="15"/>
      <c r="M284" s="15"/>
      <c r="N284" s="15"/>
      <c r="O284" s="15"/>
      <c r="Q284" s="15"/>
      <c r="R284" s="166"/>
      <c r="S284" s="120"/>
      <c r="T284" s="69"/>
      <c r="U284" s="69"/>
      <c r="V284" s="132"/>
      <c r="W284" s="69"/>
      <c r="X284" s="99"/>
      <c r="Y284" s="99"/>
      <c r="Z284" s="15"/>
      <c r="AA284" s="15"/>
      <c r="AB284" s="15"/>
      <c r="AC284" s="15"/>
      <c r="AD284" s="15"/>
      <c r="AE284" s="15"/>
      <c r="AF284" s="15"/>
      <c r="AG284" s="69"/>
      <c r="AH284" s="97"/>
      <c r="AI284" s="69"/>
      <c r="AJ284" s="97"/>
      <c r="AK284" s="167"/>
      <c r="AL284" s="15"/>
      <c r="AM284" s="15"/>
      <c r="AN284" s="15"/>
      <c r="AO284" s="15"/>
      <c r="AP284" s="15"/>
      <c r="AQ284" s="168"/>
      <c r="AR284" s="168"/>
      <c r="AS284" s="15"/>
      <c r="AT284" s="15"/>
      <c r="AU284" s="15"/>
      <c r="AV284" s="15"/>
      <c r="AW284" s="69"/>
      <c r="AX284" s="69"/>
      <c r="AY284" s="69"/>
      <c r="AZ284" s="69"/>
      <c r="BA284" s="103"/>
      <c r="BB284" s="103"/>
      <c r="BC284" s="15"/>
      <c r="BD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08"/>
      <c r="BR284" s="15"/>
      <c r="BS284" s="15"/>
      <c r="BT284" s="15"/>
      <c r="BU284" s="15"/>
      <c r="BV284" s="15"/>
      <c r="BW284" s="108"/>
      <c r="CC284" s="108"/>
      <c r="CI284" s="108"/>
      <c r="CO284" s="108"/>
      <c r="CU284" s="108"/>
      <c r="DA284" s="108"/>
      <c r="DG284" s="108"/>
      <c r="DM284" s="108"/>
      <c r="DS284" s="108"/>
      <c r="DT284" s="108"/>
      <c r="DU284" s="108"/>
      <c r="DW284" s="109"/>
      <c r="DX284" s="110"/>
      <c r="DY284" s="111"/>
      <c r="DZ284" s="111"/>
      <c r="EA284" s="110"/>
      <c r="EB284" s="99"/>
      <c r="EC284" s="112"/>
      <c r="ED284" s="113"/>
      <c r="EE284" s="114"/>
      <c r="EF284" s="114"/>
      <c r="EG284" s="114"/>
      <c r="EH284" s="115"/>
      <c r="EI284" s="116"/>
      <c r="EJ284" s="117"/>
      <c r="EK284" s="116"/>
      <c r="EL284" s="112"/>
      <c r="EM284" s="118"/>
      <c r="EN284" s="123"/>
      <c r="EO284" s="119"/>
      <c r="EP284" s="115"/>
      <c r="EQ284" s="116"/>
      <c r="ER284" s="112"/>
      <c r="ES284" s="123"/>
      <c r="ET284" s="123"/>
      <c r="EU284" s="123"/>
      <c r="EV284" s="119"/>
      <c r="EW284" s="115"/>
      <c r="EX284" s="116"/>
      <c r="EY284" s="125"/>
      <c r="EZ284" s="116"/>
      <c r="FA284" s="125"/>
      <c r="FB284" s="116"/>
      <c r="FC284" s="125"/>
      <c r="FD284" s="116"/>
      <c r="FE284" s="125"/>
      <c r="FF284" s="116"/>
      <c r="FG284" s="116"/>
      <c r="FH284" s="116"/>
      <c r="FI284" s="112"/>
      <c r="FJ284" s="116"/>
      <c r="FK284" s="125"/>
      <c r="FL284" s="116"/>
      <c r="FM284" s="125"/>
      <c r="FN284" s="116"/>
      <c r="FO284" s="125"/>
      <c r="FP284" s="116"/>
      <c r="FQ284" s="125"/>
      <c r="FR284" s="112"/>
      <c r="FS284" s="123"/>
      <c r="FT284" s="123"/>
      <c r="FU284" s="123"/>
      <c r="FV284" s="123"/>
      <c r="FW284" s="119"/>
      <c r="FX284" s="115"/>
      <c r="FY284" s="116"/>
      <c r="FZ284" s="126"/>
      <c r="GA284" s="112"/>
      <c r="GB284" s="127"/>
      <c r="GC284" s="116"/>
      <c r="GD284" s="126"/>
      <c r="GE284" s="126"/>
      <c r="GF284" s="126"/>
      <c r="GG284" s="126"/>
      <c r="GH284" s="126"/>
      <c r="GI284" s="112"/>
      <c r="GJ284" s="116"/>
      <c r="GK284" s="112"/>
      <c r="GL284" s="128"/>
    </row>
    <row r="285" ht="15.75" customHeight="1">
      <c r="A285" s="161"/>
      <c r="B285" s="15"/>
      <c r="C285" s="162"/>
      <c r="D285" s="163"/>
      <c r="E285" s="15"/>
      <c r="F285" s="211"/>
      <c r="G285" s="211"/>
      <c r="H285" s="210"/>
      <c r="I285" s="162"/>
      <c r="J285" s="162"/>
      <c r="K285" s="15"/>
      <c r="L285" s="15"/>
      <c r="M285" s="15"/>
      <c r="N285" s="15"/>
      <c r="O285" s="15"/>
      <c r="Q285" s="15"/>
      <c r="R285" s="166"/>
      <c r="S285" s="120"/>
      <c r="T285" s="69"/>
      <c r="U285" s="69"/>
      <c r="V285" s="132"/>
      <c r="W285" s="69"/>
      <c r="X285" s="99"/>
      <c r="Y285" s="99"/>
      <c r="Z285" s="15"/>
      <c r="AA285" s="15"/>
      <c r="AB285" s="15"/>
      <c r="AC285" s="15"/>
      <c r="AD285" s="15"/>
      <c r="AE285" s="15"/>
      <c r="AF285" s="15"/>
      <c r="AG285" s="69"/>
      <c r="AH285" s="97"/>
      <c r="AI285" s="69"/>
      <c r="AJ285" s="97"/>
      <c r="AK285" s="167"/>
      <c r="AL285" s="15"/>
      <c r="AM285" s="15"/>
      <c r="AN285" s="15"/>
      <c r="AO285" s="15"/>
      <c r="AP285" s="15"/>
      <c r="AQ285" s="168"/>
      <c r="AR285" s="168"/>
      <c r="AS285" s="15"/>
      <c r="AT285" s="15"/>
      <c r="AU285" s="15"/>
      <c r="AV285" s="15"/>
      <c r="AW285" s="69"/>
      <c r="AX285" s="69"/>
      <c r="AY285" s="69"/>
      <c r="AZ285" s="69"/>
      <c r="BA285" s="103"/>
      <c r="BB285" s="103"/>
      <c r="BC285" s="15"/>
      <c r="BD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08"/>
      <c r="BR285" s="15"/>
      <c r="BS285" s="15"/>
      <c r="BT285" s="15"/>
      <c r="BU285" s="15"/>
      <c r="BV285" s="15"/>
      <c r="BW285" s="108"/>
      <c r="CC285" s="108"/>
      <c r="CI285" s="108"/>
      <c r="CO285" s="108"/>
      <c r="CU285" s="108"/>
      <c r="DA285" s="108"/>
      <c r="DG285" s="108"/>
      <c r="DM285" s="108"/>
      <c r="DS285" s="108"/>
      <c r="DT285" s="108"/>
      <c r="DU285" s="108"/>
      <c r="DW285" s="109"/>
      <c r="DX285" s="110"/>
      <c r="DY285" s="111"/>
      <c r="DZ285" s="111"/>
      <c r="EA285" s="110"/>
      <c r="EB285" s="99"/>
      <c r="EC285" s="112"/>
      <c r="ED285" s="113"/>
      <c r="EE285" s="114"/>
      <c r="EF285" s="114"/>
      <c r="EG285" s="114"/>
      <c r="EH285" s="115"/>
      <c r="EI285" s="116"/>
      <c r="EJ285" s="117"/>
      <c r="EK285" s="116"/>
      <c r="EL285" s="112"/>
      <c r="EM285" s="118"/>
      <c r="EN285" s="123"/>
      <c r="EO285" s="119"/>
      <c r="EP285" s="115"/>
      <c r="EQ285" s="116"/>
      <c r="ER285" s="112"/>
      <c r="ES285" s="123"/>
      <c r="ET285" s="123"/>
      <c r="EU285" s="123"/>
      <c r="EV285" s="119"/>
      <c r="EW285" s="115"/>
      <c r="EX285" s="116"/>
      <c r="EY285" s="125"/>
      <c r="EZ285" s="116"/>
      <c r="FA285" s="125"/>
      <c r="FB285" s="116"/>
      <c r="FC285" s="125"/>
      <c r="FD285" s="116"/>
      <c r="FE285" s="125"/>
      <c r="FF285" s="116"/>
      <c r="FG285" s="116"/>
      <c r="FH285" s="116"/>
      <c r="FI285" s="112"/>
      <c r="FJ285" s="116"/>
      <c r="FK285" s="125"/>
      <c r="FL285" s="116"/>
      <c r="FM285" s="125"/>
      <c r="FN285" s="116"/>
      <c r="FO285" s="125"/>
      <c r="FP285" s="116"/>
      <c r="FQ285" s="125"/>
      <c r="FR285" s="112"/>
      <c r="FS285" s="123"/>
      <c r="FT285" s="123"/>
      <c r="FU285" s="123"/>
      <c r="FV285" s="123"/>
      <c r="FW285" s="119"/>
      <c r="FX285" s="115"/>
      <c r="FY285" s="116"/>
      <c r="FZ285" s="126"/>
      <c r="GA285" s="112"/>
      <c r="GB285" s="127"/>
      <c r="GC285" s="116"/>
      <c r="GD285" s="126"/>
      <c r="GE285" s="126"/>
      <c r="GF285" s="126"/>
      <c r="GG285" s="126"/>
      <c r="GH285" s="126"/>
      <c r="GI285" s="112"/>
      <c r="GJ285" s="116"/>
      <c r="GK285" s="112"/>
      <c r="GL285" s="128"/>
    </row>
    <row r="286" ht="15.75" customHeight="1">
      <c r="A286" s="161"/>
      <c r="B286" s="15"/>
      <c r="C286" s="162"/>
      <c r="D286" s="163"/>
      <c r="E286" s="15"/>
      <c r="F286" s="211"/>
      <c r="G286" s="211"/>
      <c r="H286" s="210"/>
      <c r="I286" s="162"/>
      <c r="J286" s="162"/>
      <c r="K286" s="15"/>
      <c r="L286" s="15"/>
      <c r="M286" s="15"/>
      <c r="N286" s="15"/>
      <c r="O286" s="15"/>
      <c r="Q286" s="15"/>
      <c r="R286" s="166"/>
      <c r="S286" s="120"/>
      <c r="T286" s="69"/>
      <c r="U286" s="69"/>
      <c r="V286" s="132"/>
      <c r="W286" s="69"/>
      <c r="X286" s="99"/>
      <c r="Y286" s="99"/>
      <c r="Z286" s="15"/>
      <c r="AA286" s="15"/>
      <c r="AB286" s="15"/>
      <c r="AC286" s="15"/>
      <c r="AD286" s="15"/>
      <c r="AE286" s="15"/>
      <c r="AF286" s="15"/>
      <c r="AG286" s="69"/>
      <c r="AH286" s="97"/>
      <c r="AI286" s="69"/>
      <c r="AJ286" s="97"/>
      <c r="AK286" s="167"/>
      <c r="AL286" s="15"/>
      <c r="AM286" s="15"/>
      <c r="AN286" s="15"/>
      <c r="AO286" s="15"/>
      <c r="AP286" s="15"/>
      <c r="AQ286" s="168"/>
      <c r="AR286" s="168"/>
      <c r="AS286" s="15"/>
      <c r="AT286" s="15"/>
      <c r="AU286" s="15"/>
      <c r="AV286" s="15"/>
      <c r="AW286" s="69"/>
      <c r="AX286" s="69"/>
      <c r="AY286" s="69"/>
      <c r="AZ286" s="69"/>
      <c r="BA286" s="103"/>
      <c r="BB286" s="103"/>
      <c r="BC286" s="15"/>
      <c r="BD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08"/>
      <c r="BR286" s="15"/>
      <c r="BS286" s="15"/>
      <c r="BT286" s="15"/>
      <c r="BU286" s="15"/>
      <c r="BV286" s="15"/>
      <c r="BW286" s="108"/>
      <c r="CC286" s="108"/>
      <c r="CI286" s="108"/>
      <c r="CO286" s="108"/>
      <c r="CU286" s="108"/>
      <c r="DA286" s="108"/>
      <c r="DG286" s="108"/>
      <c r="DM286" s="108"/>
      <c r="DS286" s="108"/>
      <c r="DT286" s="108"/>
      <c r="DU286" s="108"/>
      <c r="DW286" s="109"/>
      <c r="DX286" s="110"/>
      <c r="DY286" s="111"/>
      <c r="DZ286" s="111"/>
      <c r="EA286" s="110"/>
      <c r="EB286" s="99"/>
      <c r="EC286" s="112"/>
      <c r="ED286" s="113"/>
      <c r="EE286" s="114"/>
      <c r="EF286" s="114"/>
      <c r="EG286" s="114"/>
      <c r="EH286" s="115"/>
      <c r="EI286" s="116"/>
      <c r="EJ286" s="117"/>
      <c r="EK286" s="116"/>
      <c r="EL286" s="112"/>
      <c r="EM286" s="118"/>
      <c r="EN286" s="123"/>
      <c r="EO286" s="119"/>
      <c r="EP286" s="115"/>
      <c r="EQ286" s="116"/>
      <c r="ER286" s="112"/>
      <c r="ES286" s="123"/>
      <c r="ET286" s="123"/>
      <c r="EU286" s="123"/>
      <c r="EV286" s="119"/>
      <c r="EW286" s="115"/>
      <c r="EX286" s="116"/>
      <c r="EY286" s="125"/>
      <c r="EZ286" s="116"/>
      <c r="FA286" s="125"/>
      <c r="FB286" s="116"/>
      <c r="FC286" s="125"/>
      <c r="FD286" s="116"/>
      <c r="FE286" s="125"/>
      <c r="FF286" s="116"/>
      <c r="FG286" s="116"/>
      <c r="FH286" s="116"/>
      <c r="FI286" s="112"/>
      <c r="FJ286" s="116"/>
      <c r="FK286" s="125"/>
      <c r="FL286" s="116"/>
      <c r="FM286" s="125"/>
      <c r="FN286" s="116"/>
      <c r="FO286" s="125"/>
      <c r="FP286" s="116"/>
      <c r="FQ286" s="125"/>
      <c r="FR286" s="112"/>
      <c r="FS286" s="123"/>
      <c r="FT286" s="123"/>
      <c r="FU286" s="123"/>
      <c r="FV286" s="123"/>
      <c r="FW286" s="119"/>
      <c r="FX286" s="115"/>
      <c r="FY286" s="116"/>
      <c r="FZ286" s="126"/>
      <c r="GA286" s="112"/>
      <c r="GB286" s="127"/>
      <c r="GC286" s="116"/>
      <c r="GD286" s="126"/>
      <c r="GE286" s="126"/>
      <c r="GF286" s="126"/>
      <c r="GG286" s="126"/>
      <c r="GH286" s="126"/>
      <c r="GI286" s="112"/>
      <c r="GJ286" s="116"/>
      <c r="GK286" s="112"/>
      <c r="GL286" s="128"/>
    </row>
    <row r="287" ht="15.75" customHeight="1">
      <c r="A287" s="212" t="s">
        <v>427</v>
      </c>
      <c r="B287" s="213">
        <v>1806194.0</v>
      </c>
      <c r="C287" s="212" t="s">
        <v>1699</v>
      </c>
      <c r="D287" s="214"/>
      <c r="E287" s="212" t="s">
        <v>274</v>
      </c>
      <c r="F287" s="215" t="s">
        <v>1700</v>
      </c>
      <c r="G287" s="215" t="s">
        <v>1701</v>
      </c>
      <c r="H287" s="216">
        <v>43900.0</v>
      </c>
      <c r="I287" s="212" t="s">
        <v>1702</v>
      </c>
      <c r="J287" s="212" t="s">
        <v>1699</v>
      </c>
      <c r="K287" s="212" t="s">
        <v>422</v>
      </c>
      <c r="L287" s="212" t="s">
        <v>390</v>
      </c>
      <c r="M287" s="212" t="s">
        <v>31</v>
      </c>
      <c r="N287" s="212" t="s">
        <v>32</v>
      </c>
      <c r="O287" s="212" t="s">
        <v>35</v>
      </c>
      <c r="P287" s="217"/>
      <c r="Q287" s="212" t="s">
        <v>103</v>
      </c>
      <c r="R287" s="218"/>
      <c r="S287" s="219">
        <v>0.1125</v>
      </c>
      <c r="T287" s="220"/>
      <c r="U287" s="220"/>
      <c r="V287" s="221"/>
      <c r="W287" s="220"/>
      <c r="X287" s="222"/>
      <c r="Y287" s="222"/>
      <c r="Z287" s="212" t="s">
        <v>36</v>
      </c>
      <c r="AA287" s="212" t="s">
        <v>87</v>
      </c>
      <c r="AB287" s="212" t="s">
        <v>38</v>
      </c>
      <c r="AC287" s="212" t="s">
        <v>469</v>
      </c>
      <c r="AD287" s="212" t="s">
        <v>89</v>
      </c>
      <c r="AE287" s="212" t="s">
        <v>39</v>
      </c>
      <c r="AF287" s="212" t="s">
        <v>469</v>
      </c>
      <c r="AG287" s="223">
        <v>2.03E11</v>
      </c>
      <c r="AH287" s="224" t="str">
        <f t="shared" ref="AH287:AH319" si="609">IFS(
AG287&gt;=1000000000000, "&gt; $1T",
AG287&gt;=500000000000, "$500B-$1T",
AG287&gt;=250000000000, "$250B-$500B",
AG287&gt;=100000000000, "$100B-$250B",
AG287&gt;=50000000000, "$50B-$100B",
AG287&gt;=25000000000, "$25B-$50B",
AG287&gt;=10000000000, "$10B-$25B",
AG287&gt;=5000000000, "$5B-$10B",
AG287&gt;=1000000000, "$1B-$5B",
AG287&gt;=500000000, "$500M-$1B",
AG287&gt;=250000000, "$250M-$500M",
AG287&gt;=100000000, "$100M-$250M",
AG287&gt;=50000000, "$50M-$100M",
AG287&gt;=25000000, "$25M-$50M",
AG287&lt;25000000, "&lt; $25M")</f>
        <v>$100B-$250B</v>
      </c>
      <c r="AI287" s="225">
        <v>5.89E9</v>
      </c>
      <c r="AJ287" s="224" t="str">
        <f t="shared" ref="AJ287:AJ319" si="610">IFS(
AI287&gt;=1000000000000, "&gt; $1T",
AI287&gt;=500000000000, "$500B-$1T",
AI287&gt;=250000000000, "$250B-$500B",
AI287&gt;=100000000000, "$100B-$250B",
AI287&gt;=50000000000, "$50B-$100B",
AI287&gt;=25000000000, "$25B-$50B",
AI287&gt;=10000000000, "$10B-$25B",
AI287&gt;=5000000000, "$5B-$10B",
AI287&gt;=1000000000, "$1B-$5B",
AI287&gt;=500000000, "$500M-$1B",
AI287&gt;=250000000, "$250M-$500M",
AI287&gt;=100000000, "$100M-$250M",
AI287&gt;=50000000, "$50M-$100M",
AI287&gt;=25000000, "$25M-$50M",
AI287&lt;25000000, "&lt; $25M")</f>
        <v>$5B-$10B</v>
      </c>
      <c r="AK287" s="226">
        <v>0.062</v>
      </c>
      <c r="AL287" s="213"/>
      <c r="AM287" s="213">
        <v>25.0</v>
      </c>
      <c r="AN287" s="212" t="s">
        <v>39</v>
      </c>
      <c r="AO287" s="212" t="s">
        <v>89</v>
      </c>
      <c r="AP287" s="212" t="s">
        <v>40</v>
      </c>
      <c r="AQ287" s="212" t="s">
        <v>89</v>
      </c>
      <c r="AR287" s="212" t="s">
        <v>39</v>
      </c>
      <c r="AS287" s="212" t="s">
        <v>493</v>
      </c>
      <c r="AT287" s="212" t="s">
        <v>469</v>
      </c>
      <c r="AU287" s="212" t="s">
        <v>493</v>
      </c>
      <c r="AV287" s="212" t="s">
        <v>493</v>
      </c>
      <c r="AW287" s="225">
        <v>226084.0</v>
      </c>
      <c r="AX287" s="225"/>
      <c r="AY287" s="225">
        <v>926.75</v>
      </c>
      <c r="AZ287" s="223">
        <v>0.0</v>
      </c>
      <c r="BA287" s="219"/>
      <c r="BB287" s="219">
        <f t="shared" ref="BB287:BB319" si="611">IF(AZ287=0, 1, AY287/AZ287)</f>
        <v>1</v>
      </c>
      <c r="BC287" s="212"/>
      <c r="BD287" s="212" t="s">
        <v>124</v>
      </c>
      <c r="BE287" s="217"/>
      <c r="BF287" s="212" t="s">
        <v>469</v>
      </c>
      <c r="BG287" s="213">
        <v>0.0</v>
      </c>
      <c r="BH287" s="213">
        <v>2.0</v>
      </c>
      <c r="BI287" s="212" t="s">
        <v>469</v>
      </c>
      <c r="BJ287" s="212" t="s">
        <v>493</v>
      </c>
      <c r="BK287" s="212" t="s">
        <v>493</v>
      </c>
      <c r="BL287" s="212" t="s">
        <v>469</v>
      </c>
      <c r="BM287" s="213">
        <v>4.0</v>
      </c>
      <c r="BN287" s="213">
        <v>3.0</v>
      </c>
      <c r="BO287" s="213">
        <v>0.0</v>
      </c>
      <c r="BP287" s="213">
        <v>0.0</v>
      </c>
      <c r="BQ287" s="212"/>
      <c r="BR287" s="213">
        <v>2.0</v>
      </c>
      <c r="BS287" s="213">
        <v>0.0</v>
      </c>
      <c r="BT287" s="213">
        <v>0.0</v>
      </c>
      <c r="BU287" s="213">
        <v>36.0</v>
      </c>
      <c r="BV287" s="212" t="s">
        <v>469</v>
      </c>
      <c r="BW287" s="212"/>
      <c r="BX287" s="227">
        <v>0.0</v>
      </c>
      <c r="BY287" s="227">
        <v>1.0</v>
      </c>
      <c r="BZ287" s="227">
        <v>0.0</v>
      </c>
      <c r="CA287" s="227">
        <v>36.0</v>
      </c>
      <c r="CB287" s="228" t="s">
        <v>469</v>
      </c>
      <c r="CC287" s="212"/>
      <c r="CD287" s="228"/>
      <c r="CE287" s="228"/>
      <c r="CF287" s="228"/>
      <c r="CG287" s="228"/>
      <c r="CH287" s="228"/>
      <c r="CI287" s="212"/>
      <c r="CJ287" s="228"/>
      <c r="CK287" s="228"/>
      <c r="CL287" s="228"/>
      <c r="CM287" s="228"/>
      <c r="CN287" s="228"/>
      <c r="CO287" s="212"/>
      <c r="CP287" s="217"/>
      <c r="CQ287" s="217"/>
      <c r="CR287" s="217"/>
      <c r="CS287" s="217"/>
      <c r="CT287" s="228"/>
      <c r="CU287" s="212"/>
      <c r="CV287" s="217"/>
      <c r="CW287" s="217"/>
      <c r="CX287" s="217"/>
      <c r="CY287" s="217"/>
      <c r="CZ287" s="228"/>
      <c r="DA287" s="212"/>
      <c r="DB287" s="217"/>
      <c r="DC287" s="217"/>
      <c r="DD287" s="217"/>
      <c r="DE287" s="217"/>
      <c r="DF287" s="228"/>
      <c r="DG287" s="212"/>
      <c r="DH287" s="217"/>
      <c r="DI287" s="217"/>
      <c r="DJ287" s="217"/>
      <c r="DK287" s="217"/>
      <c r="DL287" s="228"/>
      <c r="DM287" s="212"/>
      <c r="DN287" s="217"/>
      <c r="DO287" s="217"/>
      <c r="DP287" s="217"/>
      <c r="DQ287" s="217"/>
      <c r="DR287" s="228"/>
      <c r="DS287" s="229"/>
      <c r="DT287" s="229"/>
      <c r="DU287" s="229"/>
      <c r="DV287" s="217"/>
      <c r="DW287" s="217"/>
      <c r="DX287" s="230"/>
      <c r="DY287" s="231"/>
      <c r="DZ287" s="231"/>
      <c r="EA287" s="230"/>
      <c r="EB287" s="232"/>
      <c r="EC287" s="217"/>
      <c r="ED287" s="233"/>
      <c r="EE287" s="234"/>
      <c r="EF287" s="235"/>
      <c r="EG287" s="233"/>
      <c r="EH287" s="236"/>
      <c r="EI287" s="217"/>
      <c r="EJ287" s="237"/>
      <c r="EK287" s="217"/>
      <c r="EL287" s="217"/>
      <c r="EM287" s="238"/>
      <c r="EN287" s="236"/>
      <c r="EO287" s="239"/>
      <c r="EP287" s="236"/>
      <c r="EQ287" s="217"/>
      <c r="ER287" s="217"/>
      <c r="ES287" s="236"/>
      <c r="ET287" s="236"/>
      <c r="EU287" s="236"/>
      <c r="EV287" s="239"/>
      <c r="EW287" s="236"/>
      <c r="EX287" s="217"/>
      <c r="EY287" s="240"/>
      <c r="EZ287" s="241"/>
      <c r="FA287" s="240"/>
      <c r="FB287" s="241"/>
      <c r="FC287" s="240"/>
      <c r="FD287" s="217"/>
      <c r="FE287" s="240"/>
      <c r="FF287" s="217"/>
      <c r="FG287" s="217"/>
      <c r="FH287" s="217"/>
      <c r="FI287" s="217"/>
      <c r="FJ287" s="217"/>
      <c r="FK287" s="240"/>
      <c r="FL287" s="217"/>
      <c r="FM287" s="240"/>
      <c r="FN287" s="217"/>
      <c r="FO287" s="240"/>
      <c r="FP287" s="217"/>
      <c r="FQ287" s="240"/>
      <c r="FR287" s="217"/>
      <c r="FS287" s="236"/>
      <c r="FT287" s="236"/>
      <c r="FU287" s="236"/>
      <c r="FV287" s="236"/>
      <c r="FW287" s="239"/>
      <c r="FX287" s="236"/>
      <c r="FY287" s="217"/>
      <c r="FZ287" s="240"/>
      <c r="GA287" s="217"/>
      <c r="GB287" s="242"/>
      <c r="GC287" s="217"/>
      <c r="GD287" s="240"/>
      <c r="GE287" s="240"/>
      <c r="GF287" s="240"/>
      <c r="GG287" s="240"/>
      <c r="GH287" s="240"/>
      <c r="GI287" s="217"/>
      <c r="GJ287" s="217"/>
      <c r="GK287" s="239"/>
      <c r="GL287" s="243"/>
    </row>
    <row r="288" ht="15.75" customHeight="1">
      <c r="A288" s="212" t="s">
        <v>427</v>
      </c>
      <c r="B288" s="213">
        <v>1802569.0</v>
      </c>
      <c r="C288" s="212" t="s">
        <v>1703</v>
      </c>
      <c r="D288" s="244">
        <v>43881.589583333334</v>
      </c>
      <c r="E288" s="212" t="s">
        <v>357</v>
      </c>
      <c r="F288" s="215" t="s">
        <v>1704</v>
      </c>
      <c r="G288" s="215" t="s">
        <v>1705</v>
      </c>
      <c r="H288" s="216">
        <v>43881.0</v>
      </c>
      <c r="I288" s="212" t="s">
        <v>1706</v>
      </c>
      <c r="J288" s="212" t="s">
        <v>1703</v>
      </c>
      <c r="K288" s="212" t="s">
        <v>448</v>
      </c>
      <c r="L288" s="212" t="s">
        <v>390</v>
      </c>
      <c r="M288" s="212" t="s">
        <v>31</v>
      </c>
      <c r="N288" s="212" t="s">
        <v>32</v>
      </c>
      <c r="O288" s="212" t="s">
        <v>35</v>
      </c>
      <c r="P288" s="217"/>
      <c r="Q288" s="212" t="s">
        <v>103</v>
      </c>
      <c r="R288" s="218"/>
      <c r="S288" s="219">
        <v>0.17</v>
      </c>
      <c r="T288" s="220"/>
      <c r="U288" s="220"/>
      <c r="V288" s="221"/>
      <c r="W288" s="220"/>
      <c r="X288" s="222"/>
      <c r="Y288" s="222"/>
      <c r="Z288" s="212" t="s">
        <v>36</v>
      </c>
      <c r="AA288" s="212" t="s">
        <v>87</v>
      </c>
      <c r="AB288" s="212" t="s">
        <v>38</v>
      </c>
      <c r="AC288" s="212" t="s">
        <v>469</v>
      </c>
      <c r="AD288" s="212" t="s">
        <v>89</v>
      </c>
      <c r="AE288" s="212" t="s">
        <v>39</v>
      </c>
      <c r="AF288" s="212" t="s">
        <v>469</v>
      </c>
      <c r="AG288" s="223">
        <v>8.99E11</v>
      </c>
      <c r="AH288" s="224" t="str">
        <f t="shared" si="609"/>
        <v>$500B-$1T</v>
      </c>
      <c r="AI288" s="225">
        <v>3.67E10</v>
      </c>
      <c r="AJ288" s="224" t="str">
        <f t="shared" si="610"/>
        <v>$25B-$50B</v>
      </c>
      <c r="AK288" s="226">
        <v>0.095</v>
      </c>
      <c r="AL288" s="213"/>
      <c r="AM288" s="213">
        <v>10.0</v>
      </c>
      <c r="AN288" s="212" t="s">
        <v>39</v>
      </c>
      <c r="AO288" s="212" t="s">
        <v>89</v>
      </c>
      <c r="AP288" s="212" t="s">
        <v>40</v>
      </c>
      <c r="AQ288" s="212" t="s">
        <v>89</v>
      </c>
      <c r="AR288" s="212" t="s">
        <v>39</v>
      </c>
      <c r="AS288" s="212" t="s">
        <v>469</v>
      </c>
      <c r="AT288" s="212" t="s">
        <v>469</v>
      </c>
      <c r="AU288" s="212" t="s">
        <v>469</v>
      </c>
      <c r="AV288" s="212" t="s">
        <v>469</v>
      </c>
      <c r="AW288" s="225">
        <v>0.0</v>
      </c>
      <c r="AX288" s="225"/>
      <c r="AY288" s="225">
        <v>0.0</v>
      </c>
      <c r="AZ288" s="223">
        <v>0.0</v>
      </c>
      <c r="BA288" s="219"/>
      <c r="BB288" s="219">
        <f t="shared" si="611"/>
        <v>1</v>
      </c>
      <c r="BC288" s="212"/>
      <c r="BD288" s="212" t="s">
        <v>91</v>
      </c>
      <c r="BE288" s="217"/>
      <c r="BF288" s="212" t="s">
        <v>469</v>
      </c>
      <c r="BG288" s="213">
        <v>0.0</v>
      </c>
      <c r="BH288" s="213">
        <v>2.0</v>
      </c>
      <c r="BI288" s="212" t="s">
        <v>469</v>
      </c>
      <c r="BJ288" s="212" t="s">
        <v>493</v>
      </c>
      <c r="BK288" s="212" t="s">
        <v>493</v>
      </c>
      <c r="BL288" s="212" t="s">
        <v>493</v>
      </c>
      <c r="BM288" s="213">
        <v>2.0</v>
      </c>
      <c r="BN288" s="213">
        <v>3.0</v>
      </c>
      <c r="BO288" s="213">
        <v>0.0</v>
      </c>
      <c r="BP288" s="213">
        <v>0.0</v>
      </c>
      <c r="BQ288" s="212"/>
      <c r="BR288" s="213">
        <v>10.0</v>
      </c>
      <c r="BS288" s="213">
        <v>0.0</v>
      </c>
      <c r="BT288" s="213">
        <v>0.0</v>
      </c>
      <c r="BU288" s="213">
        <v>40.0</v>
      </c>
      <c r="BV288" s="212" t="s">
        <v>493</v>
      </c>
      <c r="BW288" s="212"/>
      <c r="BX288" s="227">
        <v>7.0</v>
      </c>
      <c r="BY288" s="227">
        <v>0.0</v>
      </c>
      <c r="BZ288" s="227">
        <v>0.0</v>
      </c>
      <c r="CA288" s="227">
        <v>30.0</v>
      </c>
      <c r="CB288" s="228" t="s">
        <v>493</v>
      </c>
      <c r="CC288" s="212"/>
      <c r="CD288" s="228"/>
      <c r="CE288" s="228"/>
      <c r="CF288" s="228"/>
      <c r="CG288" s="228"/>
      <c r="CH288" s="228"/>
      <c r="CI288" s="212"/>
      <c r="CJ288" s="228"/>
      <c r="CK288" s="228"/>
      <c r="CL288" s="228"/>
      <c r="CM288" s="228"/>
      <c r="CN288" s="228"/>
      <c r="CO288" s="212"/>
      <c r="CP288" s="217"/>
      <c r="CQ288" s="217"/>
      <c r="CR288" s="217"/>
      <c r="CS288" s="217"/>
      <c r="CT288" s="228"/>
      <c r="CU288" s="212"/>
      <c r="CV288" s="217"/>
      <c r="CW288" s="217"/>
      <c r="CX288" s="217"/>
      <c r="CY288" s="217"/>
      <c r="CZ288" s="228"/>
      <c r="DA288" s="212"/>
      <c r="DB288" s="217"/>
      <c r="DC288" s="217"/>
      <c r="DD288" s="217"/>
      <c r="DE288" s="217"/>
      <c r="DF288" s="228"/>
      <c r="DG288" s="212"/>
      <c r="DH288" s="217"/>
      <c r="DI288" s="217"/>
      <c r="DJ288" s="217"/>
      <c r="DK288" s="217"/>
      <c r="DL288" s="228"/>
      <c r="DM288" s="212"/>
      <c r="DN288" s="217"/>
      <c r="DO288" s="217"/>
      <c r="DP288" s="217"/>
      <c r="DQ288" s="217"/>
      <c r="DR288" s="228"/>
      <c r="DS288" s="229"/>
      <c r="DT288" s="229"/>
      <c r="DU288" s="229"/>
      <c r="DV288" s="217"/>
      <c r="DW288" s="217"/>
      <c r="DX288" s="230"/>
      <c r="DY288" s="231"/>
      <c r="DZ288" s="231"/>
      <c r="EA288" s="230"/>
      <c r="EB288" s="232"/>
      <c r="EC288" s="217"/>
      <c r="ED288" s="233"/>
      <c r="EE288" s="234"/>
      <c r="EF288" s="235"/>
      <c r="EG288" s="233"/>
      <c r="EH288" s="236"/>
      <c r="EI288" s="217"/>
      <c r="EJ288" s="237"/>
      <c r="EK288" s="217"/>
      <c r="EL288" s="217"/>
      <c r="EM288" s="238"/>
      <c r="EN288" s="236"/>
      <c r="EO288" s="239"/>
      <c r="EP288" s="236"/>
      <c r="EQ288" s="217"/>
      <c r="ER288" s="217"/>
      <c r="ES288" s="236"/>
      <c r="ET288" s="236"/>
      <c r="EU288" s="236"/>
      <c r="EV288" s="239"/>
      <c r="EW288" s="236"/>
      <c r="EX288" s="217"/>
      <c r="EY288" s="240"/>
      <c r="EZ288" s="241"/>
      <c r="FA288" s="240"/>
      <c r="FB288" s="241"/>
      <c r="FC288" s="240"/>
      <c r="FD288" s="217"/>
      <c r="FE288" s="240"/>
      <c r="FF288" s="217"/>
      <c r="FG288" s="217"/>
      <c r="FH288" s="217"/>
      <c r="FI288" s="217"/>
      <c r="FJ288" s="217"/>
      <c r="FK288" s="240"/>
      <c r="FL288" s="217"/>
      <c r="FM288" s="240"/>
      <c r="FN288" s="217"/>
      <c r="FO288" s="240"/>
      <c r="FP288" s="217"/>
      <c r="FQ288" s="240"/>
      <c r="FR288" s="217"/>
      <c r="FS288" s="236"/>
      <c r="FT288" s="236"/>
      <c r="FU288" s="236"/>
      <c r="FV288" s="236"/>
      <c r="FW288" s="239"/>
      <c r="FX288" s="236"/>
      <c r="FY288" s="217"/>
      <c r="FZ288" s="240"/>
      <c r="GA288" s="217"/>
      <c r="GB288" s="242"/>
      <c r="GC288" s="217"/>
      <c r="GD288" s="240"/>
      <c r="GE288" s="240"/>
      <c r="GF288" s="240"/>
      <c r="GG288" s="240"/>
      <c r="GH288" s="240"/>
      <c r="GI288" s="217"/>
      <c r="GJ288" s="217"/>
      <c r="GK288" s="239"/>
      <c r="GL288" s="243"/>
    </row>
    <row r="289" ht="15.75" customHeight="1">
      <c r="A289" s="212" t="s">
        <v>427</v>
      </c>
      <c r="B289" s="213">
        <v>1798432.0</v>
      </c>
      <c r="C289" s="212" t="s">
        <v>1707</v>
      </c>
      <c r="D289" s="244"/>
      <c r="E289" s="212" t="s">
        <v>325</v>
      </c>
      <c r="F289" s="215" t="s">
        <v>1708</v>
      </c>
      <c r="G289" s="215" t="s">
        <v>1709</v>
      </c>
      <c r="H289" s="216">
        <v>43915.0</v>
      </c>
      <c r="I289" s="212" t="s">
        <v>1710</v>
      </c>
      <c r="J289" s="212" t="s">
        <v>1707</v>
      </c>
      <c r="K289" s="212" t="s">
        <v>448</v>
      </c>
      <c r="L289" s="212" t="s">
        <v>390</v>
      </c>
      <c r="M289" s="212" t="s">
        <v>31</v>
      </c>
      <c r="N289" s="212" t="s">
        <v>32</v>
      </c>
      <c r="O289" s="212" t="s">
        <v>35</v>
      </c>
      <c r="P289" s="217"/>
      <c r="Q289" s="212" t="s">
        <v>169</v>
      </c>
      <c r="R289" s="245">
        <v>1.6</v>
      </c>
      <c r="S289" s="246"/>
      <c r="T289" s="220"/>
      <c r="U289" s="220"/>
      <c r="V289" s="221"/>
      <c r="W289" s="220"/>
      <c r="X289" s="222"/>
      <c r="Y289" s="222"/>
      <c r="Z289" s="212" t="s">
        <v>36</v>
      </c>
      <c r="AA289" s="212" t="s">
        <v>87</v>
      </c>
      <c r="AB289" s="212" t="s">
        <v>38</v>
      </c>
      <c r="AC289" s="212" t="s">
        <v>469</v>
      </c>
      <c r="AD289" s="212" t="s">
        <v>39</v>
      </c>
      <c r="AE289" s="212" t="s">
        <v>89</v>
      </c>
      <c r="AF289" s="212" t="s">
        <v>469</v>
      </c>
      <c r="AG289" s="223">
        <v>3.062E10</v>
      </c>
      <c r="AH289" s="224" t="str">
        <f t="shared" si="609"/>
        <v>$25B-$50B</v>
      </c>
      <c r="AI289" s="225">
        <v>2.5E9</v>
      </c>
      <c r="AJ289" s="224" t="str">
        <f t="shared" si="610"/>
        <v>$1B-$5B</v>
      </c>
      <c r="AK289" s="226">
        <v>0.053</v>
      </c>
      <c r="AL289" s="213"/>
      <c r="AM289" s="213">
        <v>5.0</v>
      </c>
      <c r="AN289" s="212" t="s">
        <v>39</v>
      </c>
      <c r="AO289" s="212" t="s">
        <v>89</v>
      </c>
      <c r="AP289" s="212" t="s">
        <v>40</v>
      </c>
      <c r="AQ289" s="212" t="s">
        <v>89</v>
      </c>
      <c r="AR289" s="212" t="s">
        <v>39</v>
      </c>
      <c r="AS289" s="212" t="s">
        <v>469</v>
      </c>
      <c r="AT289" s="212" t="s">
        <v>469</v>
      </c>
      <c r="AU289" s="212" t="s">
        <v>469</v>
      </c>
      <c r="AV289" s="212" t="s">
        <v>469</v>
      </c>
      <c r="AW289" s="225">
        <v>0.0</v>
      </c>
      <c r="AX289" s="225"/>
      <c r="AY289" s="225">
        <v>0.0</v>
      </c>
      <c r="AZ289" s="223">
        <v>0.0</v>
      </c>
      <c r="BA289" s="219"/>
      <c r="BB289" s="219">
        <f t="shared" si="611"/>
        <v>1</v>
      </c>
      <c r="BC289" s="212"/>
      <c r="BD289" s="212" t="s">
        <v>91</v>
      </c>
      <c r="BE289" s="217"/>
      <c r="BF289" s="212" t="s">
        <v>469</v>
      </c>
      <c r="BG289" s="213">
        <v>0.0</v>
      </c>
      <c r="BH289" s="213">
        <v>1.0</v>
      </c>
      <c r="BI289" s="212" t="s">
        <v>469</v>
      </c>
      <c r="BJ289" s="212" t="s">
        <v>493</v>
      </c>
      <c r="BK289" s="212" t="s">
        <v>469</v>
      </c>
      <c r="BL289" s="212" t="s">
        <v>469</v>
      </c>
      <c r="BM289" s="213">
        <v>1.0</v>
      </c>
      <c r="BN289" s="213">
        <v>1.0</v>
      </c>
      <c r="BO289" s="213">
        <v>0.0</v>
      </c>
      <c r="BP289" s="213">
        <v>0.0</v>
      </c>
      <c r="BQ289" s="212"/>
      <c r="BR289" s="213">
        <v>0.0</v>
      </c>
      <c r="BS289" s="213">
        <v>0.0</v>
      </c>
      <c r="BT289" s="213">
        <v>0.0</v>
      </c>
      <c r="BU289" s="213">
        <v>44.0</v>
      </c>
      <c r="BV289" s="212" t="s">
        <v>469</v>
      </c>
      <c r="BW289" s="212"/>
      <c r="BX289" s="228"/>
      <c r="BY289" s="228"/>
      <c r="BZ289" s="228"/>
      <c r="CA289" s="228"/>
      <c r="CB289" s="228"/>
      <c r="CC289" s="212"/>
      <c r="CD289" s="228"/>
      <c r="CE289" s="228"/>
      <c r="CF289" s="228"/>
      <c r="CG289" s="228"/>
      <c r="CH289" s="228"/>
      <c r="CI289" s="212"/>
      <c r="CJ289" s="228"/>
      <c r="CK289" s="228"/>
      <c r="CL289" s="228"/>
      <c r="CM289" s="228"/>
      <c r="CN289" s="228"/>
      <c r="CO289" s="212"/>
      <c r="CP289" s="228"/>
      <c r="CQ289" s="228"/>
      <c r="CR289" s="228"/>
      <c r="CS289" s="228"/>
      <c r="CT289" s="228"/>
      <c r="CU289" s="212"/>
      <c r="CV289" s="228"/>
      <c r="CW289" s="228"/>
      <c r="CX289" s="228"/>
      <c r="CY289" s="228"/>
      <c r="CZ289" s="228"/>
      <c r="DA289" s="212"/>
      <c r="DB289" s="228"/>
      <c r="DC289" s="228"/>
      <c r="DD289" s="228"/>
      <c r="DE289" s="228"/>
      <c r="DF289" s="228"/>
      <c r="DG289" s="212"/>
      <c r="DH289" s="228"/>
      <c r="DI289" s="228"/>
      <c r="DJ289" s="228"/>
      <c r="DK289" s="228"/>
      <c r="DL289" s="228"/>
      <c r="DM289" s="212"/>
      <c r="DN289" s="228"/>
      <c r="DO289" s="228"/>
      <c r="DP289" s="228"/>
      <c r="DQ289" s="228"/>
      <c r="DR289" s="228"/>
      <c r="DS289" s="229"/>
      <c r="DT289" s="229"/>
      <c r="DU289" s="229"/>
      <c r="DV289" s="217"/>
      <c r="DW289" s="217"/>
      <c r="DX289" s="230"/>
      <c r="DY289" s="231"/>
      <c r="DZ289" s="231"/>
      <c r="EA289" s="230"/>
      <c r="EB289" s="232"/>
      <c r="EC289" s="217"/>
      <c r="ED289" s="233"/>
      <c r="EE289" s="234"/>
      <c r="EF289" s="233"/>
      <c r="EG289" s="235"/>
      <c r="EH289" s="236"/>
      <c r="EI289" s="217"/>
      <c r="EJ289" s="237"/>
      <c r="EK289" s="217"/>
      <c r="EL289" s="217"/>
      <c r="EM289" s="238"/>
      <c r="EN289" s="236"/>
      <c r="EO289" s="239"/>
      <c r="EP289" s="236"/>
      <c r="EQ289" s="217"/>
      <c r="ER289" s="217"/>
      <c r="ES289" s="236"/>
      <c r="ET289" s="236"/>
      <c r="EU289" s="236"/>
      <c r="EV289" s="239"/>
      <c r="EW289" s="236"/>
      <c r="EX289" s="217"/>
      <c r="EY289" s="240"/>
      <c r="EZ289" s="241"/>
      <c r="FA289" s="240"/>
      <c r="FB289" s="241"/>
      <c r="FC289" s="240"/>
      <c r="FD289" s="217"/>
      <c r="FE289" s="240"/>
      <c r="FF289" s="217"/>
      <c r="FG289" s="217"/>
      <c r="FH289" s="217"/>
      <c r="FI289" s="217"/>
      <c r="FJ289" s="217"/>
      <c r="FK289" s="240"/>
      <c r="FL289" s="217"/>
      <c r="FM289" s="240"/>
      <c r="FN289" s="217"/>
      <c r="FO289" s="240"/>
      <c r="FP289" s="217"/>
      <c r="FQ289" s="240"/>
      <c r="FR289" s="217"/>
      <c r="FS289" s="236"/>
      <c r="FT289" s="236"/>
      <c r="FU289" s="236"/>
      <c r="FV289" s="236"/>
      <c r="FW289" s="239"/>
      <c r="FX289" s="236"/>
      <c r="FY289" s="217"/>
      <c r="FZ289" s="240"/>
      <c r="GA289" s="217"/>
      <c r="GB289" s="242"/>
      <c r="GC289" s="217"/>
      <c r="GD289" s="240"/>
      <c r="GE289" s="240"/>
      <c r="GF289" s="240"/>
      <c r="GG289" s="240"/>
      <c r="GH289" s="240"/>
      <c r="GI289" s="217"/>
      <c r="GJ289" s="217"/>
      <c r="GK289" s="239"/>
      <c r="GL289" s="243"/>
    </row>
    <row r="290" ht="15.75" customHeight="1">
      <c r="A290" s="212" t="s">
        <v>427</v>
      </c>
      <c r="B290" s="213">
        <v>1807625.0</v>
      </c>
      <c r="C290" s="212" t="s">
        <v>1711</v>
      </c>
      <c r="D290" s="244"/>
      <c r="E290" s="212" t="s">
        <v>325</v>
      </c>
      <c r="F290" s="215" t="s">
        <v>1712</v>
      </c>
      <c r="G290" s="215" t="s">
        <v>1713</v>
      </c>
      <c r="H290" s="216">
        <v>43915.0</v>
      </c>
      <c r="I290" s="212" t="s">
        <v>1714</v>
      </c>
      <c r="J290" s="212" t="s">
        <v>1711</v>
      </c>
      <c r="K290" s="212" t="s">
        <v>448</v>
      </c>
      <c r="L290" s="212" t="s">
        <v>390</v>
      </c>
      <c r="M290" s="212" t="s">
        <v>31</v>
      </c>
      <c r="N290" s="212" t="s">
        <v>32</v>
      </c>
      <c r="O290" s="212" t="s">
        <v>35</v>
      </c>
      <c r="P290" s="217"/>
      <c r="Q290" s="212" t="s">
        <v>169</v>
      </c>
      <c r="R290" s="245">
        <v>1.3</v>
      </c>
      <c r="S290" s="246"/>
      <c r="T290" s="220"/>
      <c r="U290" s="220"/>
      <c r="V290" s="221"/>
      <c r="W290" s="220"/>
      <c r="X290" s="222"/>
      <c r="Y290" s="222"/>
      <c r="Z290" s="212" t="s">
        <v>36</v>
      </c>
      <c r="AA290" s="212" t="s">
        <v>87</v>
      </c>
      <c r="AB290" s="212" t="s">
        <v>38</v>
      </c>
      <c r="AC290" s="212" t="s">
        <v>469</v>
      </c>
      <c r="AD290" s="212" t="s">
        <v>39</v>
      </c>
      <c r="AE290" s="212" t="s">
        <v>89</v>
      </c>
      <c r="AF290" s="212" t="s">
        <v>469</v>
      </c>
      <c r="AG290" s="223">
        <v>1.1E9</v>
      </c>
      <c r="AH290" s="224" t="str">
        <f t="shared" si="609"/>
        <v>$1B-$5B</v>
      </c>
      <c r="AI290" s="225">
        <v>8.926E8</v>
      </c>
      <c r="AJ290" s="224" t="str">
        <f t="shared" si="610"/>
        <v>$500M-$1B</v>
      </c>
      <c r="AK290" s="226">
        <v>0.124</v>
      </c>
      <c r="AL290" s="213"/>
      <c r="AM290" s="213">
        <v>1.0</v>
      </c>
      <c r="AN290" s="212" t="s">
        <v>39</v>
      </c>
      <c r="AO290" s="212" t="s">
        <v>89</v>
      </c>
      <c r="AP290" s="212" t="s">
        <v>40</v>
      </c>
      <c r="AQ290" s="212" t="s">
        <v>89</v>
      </c>
      <c r="AR290" s="212" t="s">
        <v>39</v>
      </c>
      <c r="AS290" s="212" t="s">
        <v>469</v>
      </c>
      <c r="AT290" s="212" t="s">
        <v>469</v>
      </c>
      <c r="AU290" s="212" t="s">
        <v>469</v>
      </c>
      <c r="AV290" s="212" t="s">
        <v>469</v>
      </c>
      <c r="AW290" s="225">
        <v>0.0</v>
      </c>
      <c r="AX290" s="225"/>
      <c r="AY290" s="225">
        <v>0.0</v>
      </c>
      <c r="AZ290" s="223">
        <v>0.0</v>
      </c>
      <c r="BA290" s="219"/>
      <c r="BB290" s="219">
        <f t="shared" si="611"/>
        <v>1</v>
      </c>
      <c r="BC290" s="212"/>
      <c r="BD290" s="212" t="s">
        <v>91</v>
      </c>
      <c r="BE290" s="217"/>
      <c r="BF290" s="212" t="s">
        <v>469</v>
      </c>
      <c r="BG290" s="213">
        <v>0.0</v>
      </c>
      <c r="BH290" s="213">
        <v>1.0</v>
      </c>
      <c r="BI290" s="212" t="s">
        <v>469</v>
      </c>
      <c r="BJ290" s="212" t="s">
        <v>469</v>
      </c>
      <c r="BK290" s="212" t="s">
        <v>469</v>
      </c>
      <c r="BL290" s="212" t="s">
        <v>469</v>
      </c>
      <c r="BM290" s="213">
        <v>0.0</v>
      </c>
      <c r="BN290" s="213">
        <v>1.0</v>
      </c>
      <c r="BO290" s="213">
        <v>0.0</v>
      </c>
      <c r="BP290" s="213">
        <v>0.0</v>
      </c>
      <c r="BQ290" s="212"/>
      <c r="BR290" s="213">
        <v>15.0</v>
      </c>
      <c r="BS290" s="213">
        <v>0.0</v>
      </c>
      <c r="BT290" s="213">
        <v>0.0</v>
      </c>
      <c r="BU290" s="213">
        <v>42.0</v>
      </c>
      <c r="BV290" s="212" t="s">
        <v>469</v>
      </c>
      <c r="BW290" s="212"/>
      <c r="BX290" s="228"/>
      <c r="BY290" s="228"/>
      <c r="BZ290" s="228"/>
      <c r="CA290" s="228"/>
      <c r="CB290" s="228"/>
      <c r="CC290" s="212"/>
      <c r="CD290" s="228"/>
      <c r="CE290" s="228"/>
      <c r="CF290" s="228"/>
      <c r="CG290" s="228"/>
      <c r="CH290" s="228"/>
      <c r="CI290" s="212"/>
      <c r="CJ290" s="228"/>
      <c r="CK290" s="228"/>
      <c r="CL290" s="228"/>
      <c r="CM290" s="228"/>
      <c r="CN290" s="228"/>
      <c r="CO290" s="212"/>
      <c r="CP290" s="217"/>
      <c r="CQ290" s="217"/>
      <c r="CR290" s="217"/>
      <c r="CS290" s="217"/>
      <c r="CT290" s="228"/>
      <c r="CU290" s="212"/>
      <c r="CV290" s="217"/>
      <c r="CW290" s="217"/>
      <c r="CX290" s="217"/>
      <c r="CY290" s="217"/>
      <c r="CZ290" s="228"/>
      <c r="DA290" s="212"/>
      <c r="DB290" s="217"/>
      <c r="DC290" s="217"/>
      <c r="DD290" s="217"/>
      <c r="DE290" s="217"/>
      <c r="DF290" s="228"/>
      <c r="DG290" s="212"/>
      <c r="DH290" s="217"/>
      <c r="DI290" s="217"/>
      <c r="DJ290" s="217"/>
      <c r="DK290" s="217"/>
      <c r="DL290" s="228"/>
      <c r="DM290" s="212"/>
      <c r="DN290" s="217"/>
      <c r="DO290" s="217"/>
      <c r="DP290" s="217"/>
      <c r="DQ290" s="217"/>
      <c r="DR290" s="228"/>
      <c r="DS290" s="229"/>
      <c r="DT290" s="229"/>
      <c r="DU290" s="229"/>
      <c r="DV290" s="217"/>
      <c r="DW290" s="217"/>
      <c r="DX290" s="230"/>
      <c r="DY290" s="231"/>
      <c r="DZ290" s="231"/>
      <c r="EA290" s="230"/>
      <c r="EB290" s="232"/>
      <c r="EC290" s="217"/>
      <c r="ED290" s="233"/>
      <c r="EE290" s="234"/>
      <c r="EF290" s="233"/>
      <c r="EG290" s="235"/>
      <c r="EH290" s="236"/>
      <c r="EI290" s="217"/>
      <c r="EJ290" s="237"/>
      <c r="EK290" s="217"/>
      <c r="EL290" s="217"/>
      <c r="EM290" s="238"/>
      <c r="EN290" s="236"/>
      <c r="EO290" s="239"/>
      <c r="EP290" s="236"/>
      <c r="EQ290" s="217"/>
      <c r="ER290" s="217"/>
      <c r="ES290" s="236"/>
      <c r="ET290" s="236"/>
      <c r="EU290" s="236"/>
      <c r="EV290" s="239"/>
      <c r="EW290" s="236"/>
      <c r="EX290" s="217"/>
      <c r="EY290" s="240"/>
      <c r="EZ290" s="241"/>
      <c r="FA290" s="240"/>
      <c r="FB290" s="241"/>
      <c r="FC290" s="240"/>
      <c r="FD290" s="217"/>
      <c r="FE290" s="240"/>
      <c r="FF290" s="217"/>
      <c r="FG290" s="217"/>
      <c r="FH290" s="217"/>
      <c r="FI290" s="217"/>
      <c r="FJ290" s="217"/>
      <c r="FK290" s="240"/>
      <c r="FL290" s="217"/>
      <c r="FM290" s="240"/>
      <c r="FN290" s="217"/>
      <c r="FO290" s="240"/>
      <c r="FP290" s="217"/>
      <c r="FQ290" s="240"/>
      <c r="FR290" s="217"/>
      <c r="FS290" s="236"/>
      <c r="FT290" s="236"/>
      <c r="FU290" s="236"/>
      <c r="FV290" s="236"/>
      <c r="FW290" s="239"/>
      <c r="FX290" s="236"/>
      <c r="FY290" s="217"/>
      <c r="FZ290" s="240"/>
      <c r="GA290" s="217"/>
      <c r="GB290" s="242"/>
      <c r="GC290" s="217"/>
      <c r="GD290" s="240"/>
      <c r="GE290" s="240"/>
      <c r="GF290" s="240"/>
      <c r="GG290" s="240"/>
      <c r="GH290" s="240"/>
      <c r="GI290" s="217"/>
      <c r="GJ290" s="217"/>
      <c r="GK290" s="239"/>
      <c r="GL290" s="243"/>
    </row>
    <row r="291" ht="15.75" customHeight="1">
      <c r="A291" s="212" t="s">
        <v>427</v>
      </c>
      <c r="B291" s="213">
        <v>1807638.0</v>
      </c>
      <c r="C291" s="212" t="s">
        <v>1715</v>
      </c>
      <c r="D291" s="244"/>
      <c r="E291" s="212" t="s">
        <v>325</v>
      </c>
      <c r="F291" s="215" t="s">
        <v>1716</v>
      </c>
      <c r="G291" s="215" t="s">
        <v>1717</v>
      </c>
      <c r="H291" s="216">
        <v>43916.0</v>
      </c>
      <c r="I291" s="212" t="s">
        <v>1718</v>
      </c>
      <c r="J291" s="212" t="s">
        <v>1715</v>
      </c>
      <c r="K291" s="212" t="s">
        <v>423</v>
      </c>
      <c r="L291" s="212" t="s">
        <v>390</v>
      </c>
      <c r="M291" s="212" t="s">
        <v>31</v>
      </c>
      <c r="N291" s="212" t="s">
        <v>32</v>
      </c>
      <c r="O291" s="212" t="s">
        <v>35</v>
      </c>
      <c r="P291" s="217"/>
      <c r="Q291" s="212" t="s">
        <v>169</v>
      </c>
      <c r="R291" s="245">
        <v>1.7</v>
      </c>
      <c r="S291" s="246"/>
      <c r="T291" s="220"/>
      <c r="U291" s="220"/>
      <c r="V291" s="221"/>
      <c r="W291" s="220"/>
      <c r="X291" s="222"/>
      <c r="Y291" s="222"/>
      <c r="Z291" s="212" t="s">
        <v>36</v>
      </c>
      <c r="AA291" s="212" t="s">
        <v>87</v>
      </c>
      <c r="AB291" s="212" t="s">
        <v>38</v>
      </c>
      <c r="AC291" s="212" t="s">
        <v>469</v>
      </c>
      <c r="AD291" s="212" t="s">
        <v>89</v>
      </c>
      <c r="AE291" s="212" t="s">
        <v>39</v>
      </c>
      <c r="AF291" s="212" t="s">
        <v>469</v>
      </c>
      <c r="AG291" s="223">
        <v>8.79E10</v>
      </c>
      <c r="AH291" s="224" t="str">
        <f t="shared" si="609"/>
        <v>$50B-$100B</v>
      </c>
      <c r="AI291" s="225">
        <v>3.7E9</v>
      </c>
      <c r="AJ291" s="224" t="str">
        <f t="shared" si="610"/>
        <v>$1B-$5B</v>
      </c>
      <c r="AK291" s="226">
        <v>0.018</v>
      </c>
      <c r="AL291" s="213"/>
      <c r="AM291" s="213">
        <v>5.0</v>
      </c>
      <c r="AN291" s="212" t="s">
        <v>39</v>
      </c>
      <c r="AO291" s="212" t="s">
        <v>89</v>
      </c>
      <c r="AP291" s="212" t="s">
        <v>40</v>
      </c>
      <c r="AQ291" s="212" t="s">
        <v>89</v>
      </c>
      <c r="AR291" s="212" t="s">
        <v>39</v>
      </c>
      <c r="AS291" s="212" t="s">
        <v>469</v>
      </c>
      <c r="AT291" s="212" t="s">
        <v>469</v>
      </c>
      <c r="AU291" s="212" t="s">
        <v>469</v>
      </c>
      <c r="AV291" s="212" t="s">
        <v>469</v>
      </c>
      <c r="AW291" s="225">
        <v>0.0</v>
      </c>
      <c r="AX291" s="225"/>
      <c r="AY291" s="225">
        <v>0.0</v>
      </c>
      <c r="AZ291" s="223">
        <v>0.0</v>
      </c>
      <c r="BA291" s="219"/>
      <c r="BB291" s="219">
        <f t="shared" si="611"/>
        <v>1</v>
      </c>
      <c r="BC291" s="212"/>
      <c r="BD291" s="212" t="s">
        <v>91</v>
      </c>
      <c r="BE291" s="217"/>
      <c r="BF291" s="212" t="s">
        <v>469</v>
      </c>
      <c r="BG291" s="213">
        <v>0.0</v>
      </c>
      <c r="BH291" s="213">
        <v>1.0</v>
      </c>
      <c r="BI291" s="212" t="s">
        <v>469</v>
      </c>
      <c r="BJ291" s="212" t="s">
        <v>469</v>
      </c>
      <c r="BK291" s="212" t="s">
        <v>469</v>
      </c>
      <c r="BL291" s="212" t="s">
        <v>469</v>
      </c>
      <c r="BM291" s="213">
        <v>0.0</v>
      </c>
      <c r="BN291" s="213">
        <v>1.0</v>
      </c>
      <c r="BO291" s="213">
        <v>0.0</v>
      </c>
      <c r="BP291" s="213">
        <v>0.0</v>
      </c>
      <c r="BQ291" s="212"/>
      <c r="BR291" s="213">
        <v>20.0</v>
      </c>
      <c r="BS291" s="213">
        <v>0.0</v>
      </c>
      <c r="BT291" s="213">
        <v>0.0</v>
      </c>
      <c r="BU291" s="213">
        <v>42.0</v>
      </c>
      <c r="BV291" s="212" t="s">
        <v>469</v>
      </c>
      <c r="BW291" s="212"/>
      <c r="BX291" s="228"/>
      <c r="BY291" s="228"/>
      <c r="BZ291" s="228"/>
      <c r="CA291" s="228"/>
      <c r="CB291" s="228"/>
      <c r="CC291" s="212"/>
      <c r="CD291" s="228"/>
      <c r="CE291" s="228"/>
      <c r="CF291" s="228"/>
      <c r="CG291" s="228"/>
      <c r="CH291" s="228"/>
      <c r="CI291" s="212"/>
      <c r="CJ291" s="228"/>
      <c r="CK291" s="228"/>
      <c r="CL291" s="228"/>
      <c r="CM291" s="228"/>
      <c r="CN291" s="228"/>
      <c r="CO291" s="212"/>
      <c r="CP291" s="228"/>
      <c r="CQ291" s="228"/>
      <c r="CR291" s="228"/>
      <c r="CS291" s="228"/>
      <c r="CT291" s="228"/>
      <c r="CU291" s="212"/>
      <c r="CV291" s="228"/>
      <c r="CW291" s="228"/>
      <c r="CX291" s="228"/>
      <c r="CY291" s="228"/>
      <c r="CZ291" s="228"/>
      <c r="DA291" s="212"/>
      <c r="DB291" s="228"/>
      <c r="DC291" s="228"/>
      <c r="DD291" s="228"/>
      <c r="DE291" s="228"/>
      <c r="DF291" s="228"/>
      <c r="DG291" s="212"/>
      <c r="DH291" s="228"/>
      <c r="DI291" s="228"/>
      <c r="DJ291" s="228"/>
      <c r="DK291" s="228"/>
      <c r="DL291" s="228"/>
      <c r="DM291" s="212"/>
      <c r="DN291" s="228"/>
      <c r="DO291" s="228"/>
      <c r="DP291" s="228"/>
      <c r="DQ291" s="228"/>
      <c r="DR291" s="228"/>
      <c r="DS291" s="229"/>
      <c r="DT291" s="229"/>
      <c r="DU291" s="229"/>
      <c r="DV291" s="217"/>
      <c r="DW291" s="217"/>
      <c r="DX291" s="230"/>
      <c r="DY291" s="231"/>
      <c r="DZ291" s="231"/>
      <c r="EA291" s="230"/>
      <c r="EB291" s="232"/>
      <c r="EC291" s="217"/>
      <c r="ED291" s="233"/>
      <c r="EE291" s="234"/>
      <c r="EF291" s="233"/>
      <c r="EG291" s="235"/>
      <c r="EH291" s="236"/>
      <c r="EI291" s="217"/>
      <c r="EJ291" s="237"/>
      <c r="EK291" s="217"/>
      <c r="EL291" s="217"/>
      <c r="EM291" s="238"/>
      <c r="EN291" s="236"/>
      <c r="EO291" s="239"/>
      <c r="EP291" s="236"/>
      <c r="EQ291" s="217"/>
      <c r="ER291" s="217"/>
      <c r="ES291" s="236"/>
      <c r="ET291" s="236"/>
      <c r="EU291" s="236"/>
      <c r="EV291" s="239"/>
      <c r="EW291" s="236"/>
      <c r="EX291" s="217"/>
      <c r="EY291" s="240"/>
      <c r="EZ291" s="241"/>
      <c r="FA291" s="240"/>
      <c r="FB291" s="241"/>
      <c r="FC291" s="240"/>
      <c r="FD291" s="217"/>
      <c r="FE291" s="240"/>
      <c r="FF291" s="217"/>
      <c r="FG291" s="217"/>
      <c r="FH291" s="217"/>
      <c r="FI291" s="217"/>
      <c r="FJ291" s="217"/>
      <c r="FK291" s="240"/>
      <c r="FL291" s="217"/>
      <c r="FM291" s="240"/>
      <c r="FN291" s="217"/>
      <c r="FO291" s="240"/>
      <c r="FP291" s="217"/>
      <c r="FQ291" s="240"/>
      <c r="FR291" s="217"/>
      <c r="FS291" s="236"/>
      <c r="FT291" s="236"/>
      <c r="FU291" s="236"/>
      <c r="FV291" s="236"/>
      <c r="FW291" s="239"/>
      <c r="FX291" s="236"/>
      <c r="FY291" s="217"/>
      <c r="FZ291" s="240"/>
      <c r="GA291" s="217"/>
      <c r="GB291" s="242"/>
      <c r="GC291" s="217"/>
      <c r="GD291" s="240"/>
      <c r="GE291" s="240"/>
      <c r="GF291" s="240"/>
      <c r="GG291" s="240"/>
      <c r="GH291" s="240"/>
      <c r="GI291" s="217"/>
      <c r="GJ291" s="217"/>
      <c r="GK291" s="239"/>
      <c r="GL291" s="243"/>
    </row>
    <row r="292" ht="15.75" customHeight="1">
      <c r="A292" s="247" t="s">
        <v>702</v>
      </c>
      <c r="B292" s="248">
        <v>1787344.0</v>
      </c>
      <c r="C292" s="212" t="s">
        <v>1719</v>
      </c>
      <c r="D292" s="249">
        <v>43720.413194444445</v>
      </c>
      <c r="E292" s="247" t="s">
        <v>392</v>
      </c>
      <c r="F292" s="215" t="s">
        <v>1720</v>
      </c>
      <c r="G292" s="215" t="s">
        <v>1721</v>
      </c>
      <c r="H292" s="250">
        <v>43712.0</v>
      </c>
      <c r="I292" s="251" t="s">
        <v>1722</v>
      </c>
      <c r="J292" s="251" t="s">
        <v>1723</v>
      </c>
      <c r="K292" s="247" t="s">
        <v>460</v>
      </c>
      <c r="L292" s="247" t="s">
        <v>390</v>
      </c>
      <c r="M292" s="247" t="s">
        <v>31</v>
      </c>
      <c r="N292" s="247" t="s">
        <v>32</v>
      </c>
      <c r="O292" s="247" t="s">
        <v>35</v>
      </c>
      <c r="P292" s="252"/>
      <c r="Q292" s="247" t="s">
        <v>169</v>
      </c>
      <c r="R292" s="253">
        <v>2.0</v>
      </c>
      <c r="S292" s="246"/>
      <c r="T292" s="220"/>
      <c r="U292" s="220"/>
      <c r="V292" s="221"/>
      <c r="W292" s="220"/>
      <c r="X292" s="222"/>
      <c r="Y292" s="222"/>
      <c r="Z292" s="247" t="s">
        <v>36</v>
      </c>
      <c r="AA292" s="247" t="s">
        <v>123</v>
      </c>
      <c r="AB292" s="247" t="s">
        <v>38</v>
      </c>
      <c r="AC292" s="247" t="s">
        <v>469</v>
      </c>
      <c r="AD292" s="247" t="s">
        <v>89</v>
      </c>
      <c r="AE292" s="247" t="s">
        <v>39</v>
      </c>
      <c r="AF292" s="247" t="s">
        <v>469</v>
      </c>
      <c r="AG292" s="220">
        <v>7.072E8</v>
      </c>
      <c r="AH292" s="224" t="str">
        <f t="shared" si="609"/>
        <v>$500M-$1B</v>
      </c>
      <c r="AI292" s="220">
        <v>4.7146667E7</v>
      </c>
      <c r="AJ292" s="224" t="str">
        <f t="shared" si="610"/>
        <v>$25M-$50M</v>
      </c>
      <c r="AK292" s="254">
        <v>0.092</v>
      </c>
      <c r="AL292" s="248"/>
      <c r="AM292" s="248">
        <v>100.0</v>
      </c>
      <c r="AN292" s="247" t="s">
        <v>89</v>
      </c>
      <c r="AO292" s="247" t="s">
        <v>89</v>
      </c>
      <c r="AP292" s="247" t="s">
        <v>40</v>
      </c>
      <c r="AQ292" s="212" t="s">
        <v>89</v>
      </c>
      <c r="AR292" s="212" t="s">
        <v>39</v>
      </c>
      <c r="AS292" s="247" t="s">
        <v>493</v>
      </c>
      <c r="AT292" s="247" t="s">
        <v>469</v>
      </c>
      <c r="AU292" s="247" t="s">
        <v>469</v>
      </c>
      <c r="AV292" s="247" t="s">
        <v>469</v>
      </c>
      <c r="AW292" s="220">
        <v>0.0</v>
      </c>
      <c r="AX292" s="220"/>
      <c r="AY292" s="220">
        <v>0.0</v>
      </c>
      <c r="AZ292" s="220">
        <v>0.0</v>
      </c>
      <c r="BA292" s="219"/>
      <c r="BB292" s="219">
        <f t="shared" si="611"/>
        <v>1</v>
      </c>
      <c r="BC292" s="247"/>
      <c r="BD292" s="247" t="s">
        <v>41</v>
      </c>
      <c r="BE292" s="217"/>
      <c r="BF292" s="247" t="s">
        <v>469</v>
      </c>
      <c r="BG292" s="248">
        <v>0.0</v>
      </c>
      <c r="BH292" s="248">
        <v>1.0</v>
      </c>
      <c r="BI292" s="229" t="s">
        <v>469</v>
      </c>
      <c r="BJ292" s="247" t="s">
        <v>493</v>
      </c>
      <c r="BK292" s="247" t="s">
        <v>469</v>
      </c>
      <c r="BL292" s="247" t="s">
        <v>469</v>
      </c>
      <c r="BM292" s="248">
        <v>2.0</v>
      </c>
      <c r="BN292" s="248">
        <v>2.0</v>
      </c>
      <c r="BO292" s="248">
        <v>0.0</v>
      </c>
      <c r="BP292" s="248">
        <v>0.0</v>
      </c>
      <c r="BQ292" s="229"/>
      <c r="BR292" s="248">
        <v>4.0</v>
      </c>
      <c r="BS292" s="248">
        <v>0.0</v>
      </c>
      <c r="BT292" s="248">
        <v>0.0</v>
      </c>
      <c r="BU292" s="248">
        <v>31.0</v>
      </c>
      <c r="BV292" s="247" t="s">
        <v>469</v>
      </c>
      <c r="BW292" s="229"/>
      <c r="BX292" s="217"/>
      <c r="BY292" s="217"/>
      <c r="BZ292" s="217"/>
      <c r="CA292" s="217"/>
      <c r="CB292" s="217"/>
      <c r="CC292" s="229"/>
      <c r="CD292" s="217"/>
      <c r="CE292" s="217"/>
      <c r="CF292" s="217"/>
      <c r="CG292" s="217"/>
      <c r="CH292" s="217"/>
      <c r="CI292" s="229"/>
      <c r="CJ292" s="217"/>
      <c r="CK292" s="217"/>
      <c r="CL292" s="217"/>
      <c r="CM292" s="217"/>
      <c r="CN292" s="217"/>
      <c r="CO292" s="229"/>
      <c r="CP292" s="217"/>
      <c r="CQ292" s="217"/>
      <c r="CR292" s="217"/>
      <c r="CS292" s="217"/>
      <c r="CT292" s="217"/>
      <c r="CU292" s="229"/>
      <c r="CV292" s="217"/>
      <c r="CW292" s="217"/>
      <c r="CX292" s="217"/>
      <c r="CY292" s="217"/>
      <c r="CZ292" s="217"/>
      <c r="DA292" s="229"/>
      <c r="DB292" s="217"/>
      <c r="DC292" s="217"/>
      <c r="DD292" s="217"/>
      <c r="DE292" s="217"/>
      <c r="DF292" s="217"/>
      <c r="DG292" s="229"/>
      <c r="DH292" s="217"/>
      <c r="DI292" s="217"/>
      <c r="DJ292" s="217"/>
      <c r="DK292" s="217"/>
      <c r="DL292" s="217"/>
      <c r="DM292" s="229"/>
      <c r="DN292" s="217"/>
      <c r="DO292" s="217"/>
      <c r="DP292" s="217"/>
      <c r="DQ292" s="217"/>
      <c r="DR292" s="217"/>
      <c r="DS292" s="229"/>
      <c r="DT292" s="229"/>
      <c r="DU292" s="229"/>
      <c r="DV292" s="217"/>
      <c r="DW292" s="217"/>
      <c r="DX292" s="230"/>
      <c r="DY292" s="231"/>
      <c r="DZ292" s="231"/>
      <c r="EA292" s="230"/>
      <c r="EB292" s="232"/>
      <c r="EC292" s="217"/>
      <c r="ED292" s="233"/>
      <c r="EE292" s="234"/>
      <c r="EF292" s="233"/>
      <c r="EG292" s="235"/>
      <c r="EH292" s="236"/>
      <c r="EI292" s="217"/>
      <c r="EJ292" s="237"/>
      <c r="EK292" s="217"/>
      <c r="EL292" s="217"/>
      <c r="EM292" s="238"/>
      <c r="EN292" s="236"/>
      <c r="EO292" s="239"/>
      <c r="EP292" s="236"/>
      <c r="EQ292" s="217"/>
      <c r="ER292" s="217"/>
      <c r="ES292" s="236"/>
      <c r="ET292" s="236"/>
      <c r="EU292" s="236"/>
      <c r="EV292" s="239"/>
      <c r="EW292" s="236"/>
      <c r="EX292" s="217"/>
      <c r="EY292" s="240"/>
      <c r="EZ292" s="241"/>
      <c r="FA292" s="240"/>
      <c r="FB292" s="241"/>
      <c r="FC292" s="240"/>
      <c r="FD292" s="217"/>
      <c r="FE292" s="240"/>
      <c r="FF292" s="217"/>
      <c r="FG292" s="217"/>
      <c r="FH292" s="217"/>
      <c r="FI292" s="217"/>
      <c r="FJ292" s="217"/>
      <c r="FK292" s="240"/>
      <c r="FL292" s="217"/>
      <c r="FM292" s="240"/>
      <c r="FN292" s="217"/>
      <c r="FO292" s="240"/>
      <c r="FP292" s="217"/>
      <c r="FQ292" s="240"/>
      <c r="FR292" s="217"/>
      <c r="FS292" s="236"/>
      <c r="FT292" s="236"/>
      <c r="FU292" s="236"/>
      <c r="FV292" s="236"/>
      <c r="FW292" s="239"/>
      <c r="FX292" s="236"/>
      <c r="FY292" s="217"/>
      <c r="FZ292" s="240"/>
      <c r="GA292" s="217"/>
      <c r="GB292" s="242"/>
      <c r="GC292" s="217"/>
      <c r="GD292" s="240"/>
      <c r="GE292" s="240"/>
      <c r="GF292" s="240"/>
      <c r="GG292" s="240"/>
      <c r="GH292" s="240"/>
      <c r="GI292" s="217"/>
      <c r="GJ292" s="217"/>
      <c r="GK292" s="239"/>
      <c r="GL292" s="243"/>
    </row>
    <row r="293" ht="15.75" customHeight="1">
      <c r="A293" s="247" t="s">
        <v>702</v>
      </c>
      <c r="B293" s="248">
        <v>1796230.0</v>
      </c>
      <c r="C293" s="212" t="s">
        <v>1724</v>
      </c>
      <c r="D293" s="249">
        <v>43809.58472222222</v>
      </c>
      <c r="E293" s="247" t="s">
        <v>325</v>
      </c>
      <c r="F293" s="215" t="s">
        <v>1725</v>
      </c>
      <c r="G293" s="215" t="s">
        <v>1726</v>
      </c>
      <c r="H293" s="250">
        <v>43809.0</v>
      </c>
      <c r="I293" s="251" t="s">
        <v>1727</v>
      </c>
      <c r="J293" s="212" t="s">
        <v>1724</v>
      </c>
      <c r="K293" s="247" t="s">
        <v>448</v>
      </c>
      <c r="L293" s="247" t="s">
        <v>390</v>
      </c>
      <c r="M293" s="247" t="s">
        <v>31</v>
      </c>
      <c r="N293" s="247" t="s">
        <v>32</v>
      </c>
      <c r="O293" s="247" t="s">
        <v>35</v>
      </c>
      <c r="P293" s="217"/>
      <c r="Q293" s="247" t="s">
        <v>169</v>
      </c>
      <c r="R293" s="253">
        <v>1.5</v>
      </c>
      <c r="S293" s="246"/>
      <c r="T293" s="220"/>
      <c r="U293" s="220"/>
      <c r="V293" s="221"/>
      <c r="W293" s="220"/>
      <c r="X293" s="222"/>
      <c r="Y293" s="222"/>
      <c r="Z293" s="247" t="s">
        <v>36</v>
      </c>
      <c r="AA293" s="247" t="s">
        <v>123</v>
      </c>
      <c r="AB293" s="247" t="s">
        <v>38</v>
      </c>
      <c r="AC293" s="247" t="s">
        <v>469</v>
      </c>
      <c r="AD293" s="247" t="s">
        <v>89</v>
      </c>
      <c r="AE293" s="247" t="s">
        <v>39</v>
      </c>
      <c r="AF293" s="247" t="s">
        <v>469</v>
      </c>
      <c r="AG293" s="220">
        <v>6.31E10</v>
      </c>
      <c r="AH293" s="224" t="str">
        <f t="shared" si="609"/>
        <v>$50B-$100B</v>
      </c>
      <c r="AI293" s="220">
        <v>4000000.0</v>
      </c>
      <c r="AJ293" s="224" t="str">
        <f t="shared" si="610"/>
        <v>&lt; $25M</v>
      </c>
      <c r="AK293" s="254">
        <v>0.033</v>
      </c>
      <c r="AL293" s="248"/>
      <c r="AM293" s="248">
        <v>100.0</v>
      </c>
      <c r="AN293" s="247" t="s">
        <v>89</v>
      </c>
      <c r="AO293" s="247" t="s">
        <v>89</v>
      </c>
      <c r="AP293" s="247" t="s">
        <v>40</v>
      </c>
      <c r="AQ293" s="212" t="s">
        <v>89</v>
      </c>
      <c r="AR293" s="212" t="s">
        <v>39</v>
      </c>
      <c r="AS293" s="247" t="s">
        <v>469</v>
      </c>
      <c r="AT293" s="247" t="s">
        <v>469</v>
      </c>
      <c r="AU293" s="247" t="s">
        <v>469</v>
      </c>
      <c r="AV293" s="247" t="s">
        <v>469</v>
      </c>
      <c r="AW293" s="220">
        <v>0.0</v>
      </c>
      <c r="AX293" s="220"/>
      <c r="AY293" s="220">
        <v>0.0</v>
      </c>
      <c r="AZ293" s="255">
        <v>0.0</v>
      </c>
      <c r="BA293" s="219"/>
      <c r="BB293" s="219">
        <f t="shared" si="611"/>
        <v>1</v>
      </c>
      <c r="BC293" s="247"/>
      <c r="BD293" s="247" t="s">
        <v>41</v>
      </c>
      <c r="BE293" s="217"/>
      <c r="BF293" s="247" t="s">
        <v>469</v>
      </c>
      <c r="BG293" s="248">
        <v>0.0</v>
      </c>
      <c r="BH293" s="248">
        <v>2.0</v>
      </c>
      <c r="BI293" s="247" t="s">
        <v>469</v>
      </c>
      <c r="BJ293" s="247" t="s">
        <v>493</v>
      </c>
      <c r="BK293" s="247" t="s">
        <v>493</v>
      </c>
      <c r="BL293" s="247" t="s">
        <v>469</v>
      </c>
      <c r="BM293" s="248">
        <v>0.0</v>
      </c>
      <c r="BN293" s="248">
        <v>2.0</v>
      </c>
      <c r="BO293" s="248">
        <v>0.0</v>
      </c>
      <c r="BP293" s="248">
        <v>0.0</v>
      </c>
      <c r="BQ293" s="229"/>
      <c r="BR293" s="248">
        <v>0.0</v>
      </c>
      <c r="BS293" s="248">
        <v>0.0</v>
      </c>
      <c r="BT293" s="248">
        <v>0.0</v>
      </c>
      <c r="BU293" s="248">
        <v>42.0</v>
      </c>
      <c r="BV293" s="247" t="s">
        <v>469</v>
      </c>
      <c r="BW293" s="229"/>
      <c r="BX293" s="256">
        <v>0.0</v>
      </c>
      <c r="BY293" s="256">
        <v>0.0</v>
      </c>
      <c r="BZ293" s="256">
        <v>0.0</v>
      </c>
      <c r="CA293" s="217"/>
      <c r="CB293" s="252" t="s">
        <v>469</v>
      </c>
      <c r="CC293" s="229"/>
      <c r="CD293" s="217"/>
      <c r="CE293" s="217"/>
      <c r="CF293" s="217"/>
      <c r="CG293" s="217"/>
      <c r="CH293" s="217"/>
      <c r="CI293" s="229"/>
      <c r="CJ293" s="217"/>
      <c r="CK293" s="217"/>
      <c r="CL293" s="217"/>
      <c r="CM293" s="217"/>
      <c r="CN293" s="217"/>
      <c r="CO293" s="229"/>
      <c r="CP293" s="217"/>
      <c r="CQ293" s="217"/>
      <c r="CR293" s="217"/>
      <c r="CS293" s="217"/>
      <c r="CT293" s="217"/>
      <c r="CU293" s="229"/>
      <c r="CV293" s="217"/>
      <c r="CW293" s="217"/>
      <c r="CX293" s="217"/>
      <c r="CY293" s="217"/>
      <c r="CZ293" s="217"/>
      <c r="DA293" s="229"/>
      <c r="DB293" s="217"/>
      <c r="DC293" s="217"/>
      <c r="DD293" s="217"/>
      <c r="DE293" s="217"/>
      <c r="DF293" s="217"/>
      <c r="DG293" s="229"/>
      <c r="DH293" s="217"/>
      <c r="DI293" s="217"/>
      <c r="DJ293" s="217"/>
      <c r="DK293" s="217"/>
      <c r="DL293" s="217"/>
      <c r="DM293" s="229"/>
      <c r="DN293" s="217"/>
      <c r="DO293" s="217"/>
      <c r="DP293" s="217"/>
      <c r="DQ293" s="217"/>
      <c r="DR293" s="217"/>
      <c r="DS293" s="229"/>
      <c r="DT293" s="229"/>
      <c r="DU293" s="229"/>
      <c r="DV293" s="217"/>
      <c r="DW293" s="217"/>
      <c r="DX293" s="230"/>
      <c r="DY293" s="231"/>
      <c r="DZ293" s="231"/>
      <c r="EA293" s="230"/>
      <c r="EB293" s="232"/>
      <c r="EC293" s="217"/>
      <c r="ED293" s="233"/>
      <c r="EE293" s="234"/>
      <c r="EF293" s="233"/>
      <c r="EG293" s="235"/>
      <c r="EH293" s="236"/>
      <c r="EI293" s="217"/>
      <c r="EJ293" s="237"/>
      <c r="EK293" s="217"/>
      <c r="EL293" s="217"/>
      <c r="EM293" s="238"/>
      <c r="EN293" s="236"/>
      <c r="EO293" s="239"/>
      <c r="EP293" s="236"/>
      <c r="EQ293" s="217"/>
      <c r="ER293" s="217"/>
      <c r="ES293" s="236"/>
      <c r="ET293" s="236"/>
      <c r="EU293" s="236"/>
      <c r="EV293" s="239"/>
      <c r="EW293" s="236"/>
      <c r="EX293" s="217"/>
      <c r="EY293" s="240"/>
      <c r="EZ293" s="241"/>
      <c r="FA293" s="240"/>
      <c r="FB293" s="241"/>
      <c r="FC293" s="240"/>
      <c r="FD293" s="217"/>
      <c r="FE293" s="240"/>
      <c r="FF293" s="217"/>
      <c r="FG293" s="217"/>
      <c r="FH293" s="217"/>
      <c r="FI293" s="217"/>
      <c r="FJ293" s="217"/>
      <c r="FK293" s="240"/>
      <c r="FL293" s="217"/>
      <c r="FM293" s="240"/>
      <c r="FN293" s="217"/>
      <c r="FO293" s="240"/>
      <c r="FP293" s="217"/>
      <c r="FQ293" s="240"/>
      <c r="FR293" s="217"/>
      <c r="FS293" s="236"/>
      <c r="FT293" s="236"/>
      <c r="FU293" s="236"/>
      <c r="FV293" s="236"/>
      <c r="FW293" s="239"/>
      <c r="FX293" s="236"/>
      <c r="FY293" s="217"/>
      <c r="FZ293" s="240"/>
      <c r="GA293" s="217"/>
      <c r="GB293" s="242"/>
      <c r="GC293" s="217"/>
      <c r="GD293" s="240"/>
      <c r="GE293" s="240"/>
      <c r="GF293" s="240"/>
      <c r="GG293" s="240"/>
      <c r="GH293" s="240"/>
      <c r="GI293" s="217"/>
      <c r="GJ293" s="217"/>
      <c r="GK293" s="239"/>
      <c r="GL293" s="243"/>
    </row>
    <row r="294" ht="15.75" customHeight="1">
      <c r="A294" s="247" t="s">
        <v>702</v>
      </c>
      <c r="B294" s="248">
        <v>1802485.0</v>
      </c>
      <c r="C294" s="212" t="s">
        <v>1728</v>
      </c>
      <c r="D294" s="249">
        <v>43885.48263888889</v>
      </c>
      <c r="E294" s="247" t="s">
        <v>274</v>
      </c>
      <c r="F294" s="215" t="s">
        <v>1729</v>
      </c>
      <c r="G294" s="215" t="s">
        <v>1730</v>
      </c>
      <c r="H294" s="250">
        <v>43880.0</v>
      </c>
      <c r="I294" s="212" t="s">
        <v>1731</v>
      </c>
      <c r="J294" s="212" t="s">
        <v>1732</v>
      </c>
      <c r="K294" s="247" t="s">
        <v>153</v>
      </c>
      <c r="L294" s="247" t="s">
        <v>390</v>
      </c>
      <c r="M294" s="247" t="s">
        <v>31</v>
      </c>
      <c r="N294" s="247" t="s">
        <v>82</v>
      </c>
      <c r="O294" s="247" t="s">
        <v>35</v>
      </c>
      <c r="P294" s="217"/>
      <c r="Q294" s="247" t="s">
        <v>103</v>
      </c>
      <c r="R294" s="218"/>
      <c r="S294" s="257">
        <v>0.125</v>
      </c>
      <c r="T294" s="220"/>
      <c r="U294" s="220"/>
      <c r="V294" s="221"/>
      <c r="W294" s="220"/>
      <c r="X294" s="222"/>
      <c r="Y294" s="222"/>
      <c r="Z294" s="247" t="s">
        <v>36</v>
      </c>
      <c r="AA294" s="247" t="s">
        <v>87</v>
      </c>
      <c r="AB294" s="247" t="s">
        <v>38</v>
      </c>
      <c r="AC294" s="247" t="s">
        <v>469</v>
      </c>
      <c r="AD294" s="247" t="s">
        <v>89</v>
      </c>
      <c r="AE294" s="247" t="s">
        <v>89</v>
      </c>
      <c r="AF294" s="247" t="s">
        <v>469</v>
      </c>
      <c r="AG294" s="255">
        <v>2.5E9</v>
      </c>
      <c r="AH294" s="224" t="str">
        <f t="shared" si="609"/>
        <v>$1B-$5B</v>
      </c>
      <c r="AI294" s="255">
        <v>2.5E7</v>
      </c>
      <c r="AJ294" s="224" t="str">
        <f t="shared" si="610"/>
        <v>$25M-$50M</v>
      </c>
      <c r="AK294" s="254">
        <v>0.12</v>
      </c>
      <c r="AL294" s="248"/>
      <c r="AM294" s="248">
        <v>100.0</v>
      </c>
      <c r="AN294" s="247" t="s">
        <v>89</v>
      </c>
      <c r="AO294" s="247" t="s">
        <v>89</v>
      </c>
      <c r="AP294" s="247" t="s">
        <v>40</v>
      </c>
      <c r="AQ294" s="212" t="s">
        <v>89</v>
      </c>
      <c r="AR294" s="212" t="s">
        <v>39</v>
      </c>
      <c r="AS294" s="247" t="s">
        <v>469</v>
      </c>
      <c r="AT294" s="247" t="s">
        <v>469</v>
      </c>
      <c r="AU294" s="247" t="s">
        <v>493</v>
      </c>
      <c r="AV294" s="247" t="s">
        <v>493</v>
      </c>
      <c r="AW294" s="255">
        <v>42999.0</v>
      </c>
      <c r="AX294" s="255"/>
      <c r="AY294" s="255">
        <v>1019.0</v>
      </c>
      <c r="AZ294" s="255">
        <v>0.0</v>
      </c>
      <c r="BA294" s="219"/>
      <c r="BB294" s="219">
        <f t="shared" si="611"/>
        <v>1</v>
      </c>
      <c r="BC294" s="247"/>
      <c r="BD294" s="247" t="s">
        <v>107</v>
      </c>
      <c r="BE294" s="217"/>
      <c r="BF294" s="247" t="s">
        <v>469</v>
      </c>
      <c r="BG294" s="248">
        <v>0.0</v>
      </c>
      <c r="BH294" s="248">
        <v>2.0</v>
      </c>
      <c r="BI294" s="247" t="s">
        <v>469</v>
      </c>
      <c r="BJ294" s="247" t="s">
        <v>493</v>
      </c>
      <c r="BK294" s="247" t="s">
        <v>493</v>
      </c>
      <c r="BL294" s="247" t="s">
        <v>469</v>
      </c>
      <c r="BM294" s="248">
        <v>3.0</v>
      </c>
      <c r="BN294" s="248">
        <v>3.0</v>
      </c>
      <c r="BO294" s="248">
        <v>0.0</v>
      </c>
      <c r="BP294" s="248">
        <v>0.0</v>
      </c>
      <c r="BQ294" s="229"/>
      <c r="BR294" s="258">
        <v>1.0</v>
      </c>
      <c r="BS294" s="258">
        <v>0.0</v>
      </c>
      <c r="BT294" s="258">
        <v>0.0</v>
      </c>
      <c r="BU294" s="258">
        <v>51.0</v>
      </c>
      <c r="BV294" s="229" t="s">
        <v>469</v>
      </c>
      <c r="BW294" s="229"/>
      <c r="BX294" s="241">
        <v>1.0</v>
      </c>
      <c r="BY294" s="241">
        <v>0.0</v>
      </c>
      <c r="BZ294" s="241">
        <v>0.0</v>
      </c>
      <c r="CA294" s="217"/>
      <c r="CB294" s="217"/>
      <c r="CC294" s="229"/>
      <c r="CD294" s="217"/>
      <c r="CE294" s="217"/>
      <c r="CF294" s="217"/>
      <c r="CG294" s="217"/>
      <c r="CH294" s="217"/>
      <c r="CI294" s="229"/>
      <c r="CJ294" s="217"/>
      <c r="CK294" s="217"/>
      <c r="CL294" s="217"/>
      <c r="CM294" s="217"/>
      <c r="CN294" s="217"/>
      <c r="CO294" s="229"/>
      <c r="CP294" s="217"/>
      <c r="CQ294" s="217"/>
      <c r="CR294" s="217"/>
      <c r="CS294" s="217"/>
      <c r="CT294" s="217"/>
      <c r="CU294" s="229"/>
      <c r="CV294" s="217"/>
      <c r="CW294" s="217"/>
      <c r="CX294" s="217"/>
      <c r="CY294" s="217"/>
      <c r="CZ294" s="217"/>
      <c r="DA294" s="229"/>
      <c r="DB294" s="217"/>
      <c r="DC294" s="217"/>
      <c r="DD294" s="217"/>
      <c r="DE294" s="217"/>
      <c r="DF294" s="217"/>
      <c r="DG294" s="229"/>
      <c r="DH294" s="217"/>
      <c r="DI294" s="217"/>
      <c r="DJ294" s="217"/>
      <c r="DK294" s="217"/>
      <c r="DL294" s="217"/>
      <c r="DM294" s="229"/>
      <c r="DN294" s="217"/>
      <c r="DO294" s="217"/>
      <c r="DP294" s="217"/>
      <c r="DQ294" s="217"/>
      <c r="DR294" s="217"/>
      <c r="DS294" s="229"/>
      <c r="DT294" s="229"/>
      <c r="DU294" s="229"/>
      <c r="DV294" s="217"/>
      <c r="DW294" s="217"/>
      <c r="DX294" s="230"/>
      <c r="DY294" s="231"/>
      <c r="DZ294" s="231"/>
      <c r="EA294" s="230"/>
      <c r="EB294" s="232"/>
      <c r="EC294" s="217"/>
      <c r="ED294" s="233"/>
      <c r="EE294" s="234"/>
      <c r="EF294" s="235"/>
      <c r="EG294" s="233"/>
      <c r="EH294" s="236"/>
      <c r="EI294" s="217"/>
      <c r="EJ294" s="237"/>
      <c r="EK294" s="217"/>
      <c r="EL294" s="217"/>
      <c r="EM294" s="238"/>
      <c r="EN294" s="236"/>
      <c r="EO294" s="239"/>
      <c r="EP294" s="236"/>
      <c r="EQ294" s="217"/>
      <c r="ER294" s="217"/>
      <c r="ES294" s="236"/>
      <c r="ET294" s="236"/>
      <c r="EU294" s="236"/>
      <c r="EV294" s="239"/>
      <c r="EW294" s="236"/>
      <c r="EX294" s="217"/>
      <c r="EY294" s="240"/>
      <c r="EZ294" s="241"/>
      <c r="FA294" s="240"/>
      <c r="FB294" s="241"/>
      <c r="FC294" s="240"/>
      <c r="FD294" s="217"/>
      <c r="FE294" s="240"/>
      <c r="FF294" s="217"/>
      <c r="FG294" s="217"/>
      <c r="FH294" s="217"/>
      <c r="FI294" s="217"/>
      <c r="FJ294" s="217"/>
      <c r="FK294" s="240"/>
      <c r="FL294" s="217"/>
      <c r="FM294" s="240"/>
      <c r="FN294" s="217"/>
      <c r="FO294" s="240"/>
      <c r="FP294" s="217"/>
      <c r="FQ294" s="240"/>
      <c r="FR294" s="217"/>
      <c r="FS294" s="236"/>
      <c r="FT294" s="236"/>
      <c r="FU294" s="236"/>
      <c r="FV294" s="236"/>
      <c r="FW294" s="239"/>
      <c r="FX294" s="236"/>
      <c r="FY294" s="217"/>
      <c r="FZ294" s="240"/>
      <c r="GA294" s="217"/>
      <c r="GB294" s="242"/>
      <c r="GC294" s="217"/>
      <c r="GD294" s="240"/>
      <c r="GE294" s="240"/>
      <c r="GF294" s="240"/>
      <c r="GG294" s="240"/>
      <c r="GH294" s="240"/>
      <c r="GI294" s="217"/>
      <c r="GJ294" s="217"/>
      <c r="GK294" s="239"/>
      <c r="GL294" s="243"/>
    </row>
    <row r="295" ht="15.75" customHeight="1">
      <c r="A295" s="247" t="s">
        <v>702</v>
      </c>
      <c r="B295" s="248">
        <v>1804109.0</v>
      </c>
      <c r="C295" s="212" t="s">
        <v>1733</v>
      </c>
      <c r="D295" s="249">
        <v>43886.518055555556</v>
      </c>
      <c r="E295" s="247" t="s">
        <v>325</v>
      </c>
      <c r="F295" s="215" t="s">
        <v>1734</v>
      </c>
      <c r="G295" s="215" t="s">
        <v>1735</v>
      </c>
      <c r="H295" s="250">
        <v>43885.0</v>
      </c>
      <c r="I295" s="212" t="s">
        <v>1736</v>
      </c>
      <c r="J295" s="212" t="s">
        <v>1737</v>
      </c>
      <c r="K295" s="247" t="s">
        <v>549</v>
      </c>
      <c r="L295" s="247" t="s">
        <v>390</v>
      </c>
      <c r="M295" s="247" t="s">
        <v>31</v>
      </c>
      <c r="N295" s="247" t="s">
        <v>82</v>
      </c>
      <c r="O295" s="247" t="s">
        <v>35</v>
      </c>
      <c r="P295" s="217"/>
      <c r="Q295" s="247" t="s">
        <v>169</v>
      </c>
      <c r="R295" s="253">
        <v>1.8</v>
      </c>
      <c r="S295" s="246"/>
      <c r="T295" s="220"/>
      <c r="U295" s="220"/>
      <c r="V295" s="221"/>
      <c r="W295" s="220"/>
      <c r="X295" s="222"/>
      <c r="Y295" s="222"/>
      <c r="Z295" s="247" t="s">
        <v>36</v>
      </c>
      <c r="AA295" s="247" t="s">
        <v>123</v>
      </c>
      <c r="AB295" s="247" t="s">
        <v>38</v>
      </c>
      <c r="AC295" s="247" t="s">
        <v>469</v>
      </c>
      <c r="AD295" s="247" t="s">
        <v>39</v>
      </c>
      <c r="AE295" s="247" t="s">
        <v>39</v>
      </c>
      <c r="AF295" s="247" t="s">
        <v>469</v>
      </c>
      <c r="AG295" s="220">
        <v>7.2E10</v>
      </c>
      <c r="AH295" s="224" t="str">
        <f t="shared" si="609"/>
        <v>$50B-$100B</v>
      </c>
      <c r="AI295" s="220">
        <v>7.2E10</v>
      </c>
      <c r="AJ295" s="224" t="str">
        <f t="shared" si="610"/>
        <v>$50B-$100B</v>
      </c>
      <c r="AK295" s="254">
        <v>0.04</v>
      </c>
      <c r="AL295" s="248"/>
      <c r="AM295" s="248">
        <v>1000.0</v>
      </c>
      <c r="AN295" s="247" t="s">
        <v>89</v>
      </c>
      <c r="AO295" s="247" t="s">
        <v>89</v>
      </c>
      <c r="AP295" s="247" t="s">
        <v>40</v>
      </c>
      <c r="AQ295" s="212" t="s">
        <v>89</v>
      </c>
      <c r="AR295" s="212" t="s">
        <v>39</v>
      </c>
      <c r="AS295" s="247" t="s">
        <v>469</v>
      </c>
      <c r="AT295" s="247" t="s">
        <v>469</v>
      </c>
      <c r="AU295" s="247" t="s">
        <v>493</v>
      </c>
      <c r="AV295" s="247" t="s">
        <v>493</v>
      </c>
      <c r="AW295" s="220">
        <v>0.0</v>
      </c>
      <c r="AX295" s="220"/>
      <c r="AY295" s="220">
        <v>0.0</v>
      </c>
      <c r="AZ295" s="220">
        <v>0.0</v>
      </c>
      <c r="BA295" s="219"/>
      <c r="BB295" s="219">
        <f t="shared" si="611"/>
        <v>1</v>
      </c>
      <c r="BC295" s="247"/>
      <c r="BD295" s="247" t="s">
        <v>107</v>
      </c>
      <c r="BE295" s="217"/>
      <c r="BF295" s="247" t="s">
        <v>469</v>
      </c>
      <c r="BG295" s="248">
        <v>0.0</v>
      </c>
      <c r="BH295" s="248">
        <v>1.0</v>
      </c>
      <c r="BI295" s="229" t="s">
        <v>469</v>
      </c>
      <c r="BJ295" s="247" t="s">
        <v>469</v>
      </c>
      <c r="BK295" s="247" t="s">
        <v>469</v>
      </c>
      <c r="BL295" s="247" t="s">
        <v>469</v>
      </c>
      <c r="BM295" s="248">
        <v>1.0</v>
      </c>
      <c r="BN295" s="248">
        <v>3.0</v>
      </c>
      <c r="BO295" s="248">
        <v>0.0</v>
      </c>
      <c r="BP295" s="248">
        <v>0.0</v>
      </c>
      <c r="BQ295" s="229"/>
      <c r="BR295" s="258">
        <v>2.0</v>
      </c>
      <c r="BS295" s="258">
        <v>0.0</v>
      </c>
      <c r="BT295" s="258">
        <v>0.0</v>
      </c>
      <c r="BU295" s="258">
        <v>50.0</v>
      </c>
      <c r="BV295" s="229" t="s">
        <v>469</v>
      </c>
      <c r="BW295" s="229"/>
      <c r="BX295" s="217"/>
      <c r="BY295" s="217"/>
      <c r="BZ295" s="217"/>
      <c r="CA295" s="217"/>
      <c r="CB295" s="217"/>
      <c r="CC295" s="229"/>
      <c r="CD295" s="217"/>
      <c r="CE295" s="217"/>
      <c r="CF295" s="217"/>
      <c r="CG295" s="217"/>
      <c r="CH295" s="217"/>
      <c r="CI295" s="229"/>
      <c r="CJ295" s="217"/>
      <c r="CK295" s="217"/>
      <c r="CL295" s="217"/>
      <c r="CM295" s="217"/>
      <c r="CN295" s="217"/>
      <c r="CO295" s="229"/>
      <c r="CP295" s="217"/>
      <c r="CQ295" s="217"/>
      <c r="CR295" s="217"/>
      <c r="CS295" s="217"/>
      <c r="CT295" s="217"/>
      <c r="CU295" s="229"/>
      <c r="CV295" s="217"/>
      <c r="CW295" s="217"/>
      <c r="CX295" s="217"/>
      <c r="CY295" s="217"/>
      <c r="CZ295" s="217"/>
      <c r="DA295" s="229"/>
      <c r="DB295" s="217"/>
      <c r="DC295" s="217"/>
      <c r="DD295" s="217"/>
      <c r="DE295" s="217"/>
      <c r="DF295" s="217"/>
      <c r="DG295" s="229"/>
      <c r="DH295" s="217"/>
      <c r="DI295" s="217"/>
      <c r="DJ295" s="217"/>
      <c r="DK295" s="217"/>
      <c r="DL295" s="217"/>
      <c r="DM295" s="229"/>
      <c r="DN295" s="217"/>
      <c r="DO295" s="217"/>
      <c r="DP295" s="217"/>
      <c r="DQ295" s="217"/>
      <c r="DR295" s="217"/>
      <c r="DS295" s="229"/>
      <c r="DT295" s="229"/>
      <c r="DU295" s="229"/>
      <c r="DV295" s="217"/>
      <c r="DW295" s="217"/>
      <c r="DX295" s="230"/>
      <c r="DY295" s="231"/>
      <c r="DZ295" s="231"/>
      <c r="EA295" s="230"/>
      <c r="EB295" s="232"/>
      <c r="EC295" s="217"/>
      <c r="ED295" s="233"/>
      <c r="EE295" s="234"/>
      <c r="EF295" s="233"/>
      <c r="EG295" s="235"/>
      <c r="EH295" s="236"/>
      <c r="EI295" s="217"/>
      <c r="EJ295" s="237"/>
      <c r="EK295" s="217"/>
      <c r="EL295" s="217"/>
      <c r="EM295" s="238"/>
      <c r="EN295" s="236"/>
      <c r="EO295" s="239"/>
      <c r="EP295" s="236"/>
      <c r="EQ295" s="217"/>
      <c r="ER295" s="217"/>
      <c r="ES295" s="236"/>
      <c r="ET295" s="236"/>
      <c r="EU295" s="236"/>
      <c r="EV295" s="239"/>
      <c r="EW295" s="236"/>
      <c r="EX295" s="217"/>
      <c r="EY295" s="240"/>
      <c r="EZ295" s="241"/>
      <c r="FA295" s="240"/>
      <c r="FB295" s="241"/>
      <c r="FC295" s="240"/>
      <c r="FD295" s="217"/>
      <c r="FE295" s="240"/>
      <c r="FF295" s="217"/>
      <c r="FG295" s="217"/>
      <c r="FH295" s="217"/>
      <c r="FI295" s="217"/>
      <c r="FJ295" s="217"/>
      <c r="FK295" s="240"/>
      <c r="FL295" s="217"/>
      <c r="FM295" s="240"/>
      <c r="FN295" s="217"/>
      <c r="FO295" s="240"/>
      <c r="FP295" s="217"/>
      <c r="FQ295" s="240"/>
      <c r="FR295" s="217"/>
      <c r="FS295" s="236"/>
      <c r="FT295" s="236"/>
      <c r="FU295" s="236"/>
      <c r="FV295" s="236"/>
      <c r="FW295" s="239"/>
      <c r="FX295" s="236"/>
      <c r="FY295" s="217"/>
      <c r="FZ295" s="240"/>
      <c r="GA295" s="217"/>
      <c r="GB295" s="242"/>
      <c r="GC295" s="217"/>
      <c r="GD295" s="240"/>
      <c r="GE295" s="240"/>
      <c r="GF295" s="240"/>
      <c r="GG295" s="240"/>
      <c r="GH295" s="240"/>
      <c r="GI295" s="217"/>
      <c r="GJ295" s="217"/>
      <c r="GK295" s="239"/>
      <c r="GL295" s="243"/>
    </row>
    <row r="296" ht="15.75" customHeight="1">
      <c r="A296" s="247" t="s">
        <v>702</v>
      </c>
      <c r="B296" s="248">
        <v>1795322.0</v>
      </c>
      <c r="C296" s="212" t="s">
        <v>1738</v>
      </c>
      <c r="D296" s="249">
        <v>43888.46666666667</v>
      </c>
      <c r="E296" s="247" t="s">
        <v>357</v>
      </c>
      <c r="F296" s="215" t="s">
        <v>1739</v>
      </c>
      <c r="G296" s="215" t="s">
        <v>1740</v>
      </c>
      <c r="H296" s="250">
        <v>43886.0</v>
      </c>
      <c r="I296" s="212" t="s">
        <v>1741</v>
      </c>
      <c r="J296" s="212" t="s">
        <v>1738</v>
      </c>
      <c r="K296" s="247" t="s">
        <v>438</v>
      </c>
      <c r="L296" s="247" t="s">
        <v>390</v>
      </c>
      <c r="M296" s="247" t="s">
        <v>81</v>
      </c>
      <c r="N296" s="247" t="s">
        <v>101</v>
      </c>
      <c r="O296" s="247" t="s">
        <v>35</v>
      </c>
      <c r="P296" s="217"/>
      <c r="Q296" s="247" t="s">
        <v>103</v>
      </c>
      <c r="R296" s="218"/>
      <c r="S296" s="257">
        <v>0.16</v>
      </c>
      <c r="T296" s="220"/>
      <c r="U296" s="255"/>
      <c r="V296" s="221"/>
      <c r="W296" s="255"/>
      <c r="X296" s="222"/>
      <c r="Y296" s="222"/>
      <c r="Z296" s="247" t="s">
        <v>36</v>
      </c>
      <c r="AA296" s="247" t="s">
        <v>123</v>
      </c>
      <c r="AB296" s="247" t="s">
        <v>38</v>
      </c>
      <c r="AC296" s="247" t="s">
        <v>469</v>
      </c>
      <c r="AD296" s="247" t="s">
        <v>89</v>
      </c>
      <c r="AE296" s="247" t="s">
        <v>39</v>
      </c>
      <c r="AF296" s="247" t="s">
        <v>469</v>
      </c>
      <c r="AG296" s="255">
        <v>1.75E9</v>
      </c>
      <c r="AH296" s="224" t="str">
        <f t="shared" si="609"/>
        <v>$1B-$5B</v>
      </c>
      <c r="AI296" s="255">
        <v>1.75E9</v>
      </c>
      <c r="AJ296" s="224" t="str">
        <f t="shared" si="610"/>
        <v>$1B-$5B</v>
      </c>
      <c r="AK296" s="254">
        <v>0.07</v>
      </c>
      <c r="AL296" s="248"/>
      <c r="AM296" s="248">
        <v>70.0</v>
      </c>
      <c r="AN296" s="247" t="s">
        <v>89</v>
      </c>
      <c r="AO296" s="247" t="s">
        <v>89</v>
      </c>
      <c r="AP296" s="247" t="s">
        <v>40</v>
      </c>
      <c r="AQ296" s="212" t="s">
        <v>89</v>
      </c>
      <c r="AR296" s="212" t="s">
        <v>39</v>
      </c>
      <c r="AS296" s="247" t="s">
        <v>469</v>
      </c>
      <c r="AT296" s="247" t="s">
        <v>469</v>
      </c>
      <c r="AU296" s="247" t="s">
        <v>469</v>
      </c>
      <c r="AV296" s="247" t="s">
        <v>469</v>
      </c>
      <c r="AW296" s="255">
        <v>0.0</v>
      </c>
      <c r="AX296" s="255"/>
      <c r="AY296" s="255">
        <v>0.0</v>
      </c>
      <c r="AZ296" s="255">
        <v>0.0</v>
      </c>
      <c r="BA296" s="219"/>
      <c r="BB296" s="219">
        <f t="shared" si="611"/>
        <v>1</v>
      </c>
      <c r="BC296" s="247"/>
      <c r="BD296" s="247" t="s">
        <v>41</v>
      </c>
      <c r="BE296" s="217"/>
      <c r="BF296" s="247" t="s">
        <v>469</v>
      </c>
      <c r="BG296" s="248">
        <v>0.0</v>
      </c>
      <c r="BH296" s="248">
        <v>1.0</v>
      </c>
      <c r="BI296" s="229" t="s">
        <v>469</v>
      </c>
      <c r="BJ296" s="247" t="s">
        <v>469</v>
      </c>
      <c r="BK296" s="247" t="s">
        <v>493</v>
      </c>
      <c r="BL296" s="247" t="s">
        <v>469</v>
      </c>
      <c r="BM296" s="248">
        <v>2.0</v>
      </c>
      <c r="BN296" s="248">
        <v>2.0</v>
      </c>
      <c r="BO296" s="248">
        <v>0.0</v>
      </c>
      <c r="BP296" s="248">
        <v>0.0</v>
      </c>
      <c r="BQ296" s="229"/>
      <c r="BR296" s="258">
        <v>7.0</v>
      </c>
      <c r="BS296" s="258">
        <v>0.0</v>
      </c>
      <c r="BT296" s="258">
        <v>0.0</v>
      </c>
      <c r="BU296" s="258">
        <v>36.0</v>
      </c>
      <c r="BV296" s="229" t="s">
        <v>469</v>
      </c>
      <c r="BW296" s="229"/>
      <c r="BX296" s="217"/>
      <c r="BY296" s="217"/>
      <c r="BZ296" s="217"/>
      <c r="CA296" s="217"/>
      <c r="CB296" s="217"/>
      <c r="CC296" s="229"/>
      <c r="CD296" s="217"/>
      <c r="CE296" s="217"/>
      <c r="CF296" s="217"/>
      <c r="CG296" s="217"/>
      <c r="CH296" s="217"/>
      <c r="CI296" s="229"/>
      <c r="CJ296" s="217"/>
      <c r="CK296" s="217"/>
      <c r="CL296" s="217"/>
      <c r="CM296" s="217"/>
      <c r="CN296" s="217"/>
      <c r="CO296" s="229"/>
      <c r="CP296" s="217"/>
      <c r="CQ296" s="217"/>
      <c r="CR296" s="217"/>
      <c r="CS296" s="217"/>
      <c r="CT296" s="217"/>
      <c r="CU296" s="229"/>
      <c r="CV296" s="217"/>
      <c r="CW296" s="217"/>
      <c r="CX296" s="217"/>
      <c r="CY296" s="217"/>
      <c r="CZ296" s="217"/>
      <c r="DA296" s="229"/>
      <c r="DB296" s="217"/>
      <c r="DC296" s="217"/>
      <c r="DD296" s="217"/>
      <c r="DE296" s="217"/>
      <c r="DF296" s="217"/>
      <c r="DG296" s="229"/>
      <c r="DH296" s="217"/>
      <c r="DI296" s="217"/>
      <c r="DJ296" s="217"/>
      <c r="DK296" s="217"/>
      <c r="DL296" s="217"/>
      <c r="DM296" s="229"/>
      <c r="DN296" s="217"/>
      <c r="DO296" s="217"/>
      <c r="DP296" s="217"/>
      <c r="DQ296" s="217"/>
      <c r="DR296" s="217"/>
      <c r="DS296" s="229"/>
      <c r="DT296" s="229"/>
      <c r="DU296" s="229"/>
      <c r="DV296" s="217"/>
      <c r="DW296" s="217"/>
      <c r="DX296" s="230"/>
      <c r="DY296" s="231"/>
      <c r="DZ296" s="231"/>
      <c r="EA296" s="230"/>
      <c r="EB296" s="232"/>
      <c r="EC296" s="217"/>
      <c r="ED296" s="233"/>
      <c r="EE296" s="234"/>
      <c r="EF296" s="235"/>
      <c r="EG296" s="233"/>
      <c r="EH296" s="236"/>
      <c r="EI296" s="217"/>
      <c r="EJ296" s="237"/>
      <c r="EK296" s="217"/>
      <c r="EL296" s="217"/>
      <c r="EM296" s="238"/>
      <c r="EN296" s="236"/>
      <c r="EO296" s="239"/>
      <c r="EP296" s="236"/>
      <c r="EQ296" s="217"/>
      <c r="ER296" s="217"/>
      <c r="ES296" s="236"/>
      <c r="ET296" s="236"/>
      <c r="EU296" s="236"/>
      <c r="EV296" s="239"/>
      <c r="EW296" s="236"/>
      <c r="EX296" s="217"/>
      <c r="EY296" s="240"/>
      <c r="EZ296" s="241"/>
      <c r="FA296" s="240"/>
      <c r="FB296" s="241"/>
      <c r="FC296" s="240"/>
      <c r="FD296" s="217"/>
      <c r="FE296" s="240"/>
      <c r="FF296" s="217"/>
      <c r="FG296" s="217"/>
      <c r="FH296" s="217"/>
      <c r="FI296" s="217"/>
      <c r="FJ296" s="217"/>
      <c r="FK296" s="240"/>
      <c r="FL296" s="217"/>
      <c r="FM296" s="240"/>
      <c r="FN296" s="217"/>
      <c r="FO296" s="240"/>
      <c r="FP296" s="217"/>
      <c r="FQ296" s="240"/>
      <c r="FR296" s="217"/>
      <c r="FS296" s="236"/>
      <c r="FT296" s="236"/>
      <c r="FU296" s="236"/>
      <c r="FV296" s="236"/>
      <c r="FW296" s="239"/>
      <c r="FX296" s="236"/>
      <c r="FY296" s="217"/>
      <c r="FZ296" s="240"/>
      <c r="GA296" s="217"/>
      <c r="GB296" s="242"/>
      <c r="GC296" s="217"/>
      <c r="GD296" s="240"/>
      <c r="GE296" s="240"/>
      <c r="GF296" s="240"/>
      <c r="GG296" s="240"/>
      <c r="GH296" s="240"/>
      <c r="GI296" s="217"/>
      <c r="GJ296" s="217"/>
      <c r="GK296" s="239"/>
      <c r="GL296" s="243"/>
    </row>
    <row r="297" ht="15.75" customHeight="1">
      <c r="A297" s="247" t="s">
        <v>702</v>
      </c>
      <c r="B297" s="248">
        <v>1804411.0</v>
      </c>
      <c r="C297" s="212" t="s">
        <v>1742</v>
      </c>
      <c r="D297" s="249">
        <v>43888.48472222222</v>
      </c>
      <c r="E297" s="247" t="s">
        <v>325</v>
      </c>
      <c r="F297" s="215" t="s">
        <v>1743</v>
      </c>
      <c r="G297" s="215" t="s">
        <v>1744</v>
      </c>
      <c r="H297" s="250">
        <v>43887.0</v>
      </c>
      <c r="I297" s="251" t="s">
        <v>1745</v>
      </c>
      <c r="J297" s="212" t="s">
        <v>1742</v>
      </c>
      <c r="K297" s="247" t="s">
        <v>448</v>
      </c>
      <c r="L297" s="247" t="s">
        <v>390</v>
      </c>
      <c r="M297" s="247" t="s">
        <v>31</v>
      </c>
      <c r="N297" s="247" t="s">
        <v>32</v>
      </c>
      <c r="O297" s="247" t="s">
        <v>35</v>
      </c>
      <c r="P297" s="217"/>
      <c r="Q297" s="247" t="s">
        <v>169</v>
      </c>
      <c r="R297" s="253">
        <v>1.5</v>
      </c>
      <c r="S297" s="246"/>
      <c r="T297" s="220"/>
      <c r="U297" s="220"/>
      <c r="V297" s="221"/>
      <c r="W297" s="220"/>
      <c r="X297" s="222"/>
      <c r="Y297" s="222"/>
      <c r="Z297" s="247" t="s">
        <v>36</v>
      </c>
      <c r="AA297" s="247" t="s">
        <v>87</v>
      </c>
      <c r="AB297" s="247" t="s">
        <v>38</v>
      </c>
      <c r="AC297" s="247" t="s">
        <v>469</v>
      </c>
      <c r="AD297" s="247" t="s">
        <v>89</v>
      </c>
      <c r="AE297" s="247" t="s">
        <v>89</v>
      </c>
      <c r="AF297" s="247" t="s">
        <v>469</v>
      </c>
      <c r="AG297" s="220">
        <v>6.784E11</v>
      </c>
      <c r="AH297" s="224" t="str">
        <f t="shared" si="609"/>
        <v>$500B-$1T</v>
      </c>
      <c r="AI297" s="220">
        <v>6.784E11</v>
      </c>
      <c r="AJ297" s="224" t="str">
        <f t="shared" si="610"/>
        <v>$500B-$1T</v>
      </c>
      <c r="AK297" s="254">
        <v>0.018</v>
      </c>
      <c r="AL297" s="248"/>
      <c r="AM297" s="248">
        <v>100.0</v>
      </c>
      <c r="AN297" s="247" t="s">
        <v>89</v>
      </c>
      <c r="AO297" s="247" t="s">
        <v>89</v>
      </c>
      <c r="AP297" s="247" t="s">
        <v>40</v>
      </c>
      <c r="AQ297" s="212" t="s">
        <v>89</v>
      </c>
      <c r="AR297" s="212" t="s">
        <v>39</v>
      </c>
      <c r="AS297" s="247" t="s">
        <v>469</v>
      </c>
      <c r="AT297" s="247" t="s">
        <v>469</v>
      </c>
      <c r="AU297" s="247" t="s">
        <v>469</v>
      </c>
      <c r="AV297" s="247" t="s">
        <v>469</v>
      </c>
      <c r="AW297" s="220">
        <v>0.0</v>
      </c>
      <c r="AX297" s="220"/>
      <c r="AY297" s="220">
        <v>0.0</v>
      </c>
      <c r="AZ297" s="220">
        <v>0.0</v>
      </c>
      <c r="BA297" s="219"/>
      <c r="BB297" s="219">
        <f t="shared" si="611"/>
        <v>1</v>
      </c>
      <c r="BC297" s="247"/>
      <c r="BD297" s="247" t="s">
        <v>41</v>
      </c>
      <c r="BE297" s="217"/>
      <c r="BF297" s="247" t="s">
        <v>469</v>
      </c>
      <c r="BG297" s="248">
        <v>0.0</v>
      </c>
      <c r="BH297" s="248">
        <v>2.0</v>
      </c>
      <c r="BI297" s="247" t="s">
        <v>469</v>
      </c>
      <c r="BJ297" s="247" t="s">
        <v>493</v>
      </c>
      <c r="BK297" s="247" t="s">
        <v>469</v>
      </c>
      <c r="BL297" s="247" t="s">
        <v>469</v>
      </c>
      <c r="BM297" s="248">
        <v>2.0</v>
      </c>
      <c r="BN297" s="248">
        <v>2.0</v>
      </c>
      <c r="BO297" s="248">
        <v>0.0</v>
      </c>
      <c r="BP297" s="248">
        <v>0.0</v>
      </c>
      <c r="BQ297" s="229"/>
      <c r="BR297" s="258">
        <v>0.0</v>
      </c>
      <c r="BS297" s="258">
        <v>0.0</v>
      </c>
      <c r="BT297" s="258">
        <v>0.0</v>
      </c>
      <c r="BU297" s="258">
        <v>34.0</v>
      </c>
      <c r="BV297" s="229" t="s">
        <v>469</v>
      </c>
      <c r="BW297" s="229"/>
      <c r="BX297" s="241">
        <v>0.0</v>
      </c>
      <c r="BY297" s="241">
        <v>0.0</v>
      </c>
      <c r="BZ297" s="241">
        <v>0.0</v>
      </c>
      <c r="CA297" s="241">
        <v>35.0</v>
      </c>
      <c r="CB297" s="217"/>
      <c r="CC297" s="229"/>
      <c r="CD297" s="217"/>
      <c r="CE297" s="217"/>
      <c r="CF297" s="217"/>
      <c r="CG297" s="217"/>
      <c r="CH297" s="217"/>
      <c r="CI297" s="229"/>
      <c r="CJ297" s="217"/>
      <c r="CK297" s="217"/>
      <c r="CL297" s="217"/>
      <c r="CM297" s="217"/>
      <c r="CN297" s="217"/>
      <c r="CO297" s="229"/>
      <c r="CP297" s="217"/>
      <c r="CQ297" s="217"/>
      <c r="CR297" s="217"/>
      <c r="CS297" s="217"/>
      <c r="CT297" s="217"/>
      <c r="CU297" s="229"/>
      <c r="CV297" s="217"/>
      <c r="CW297" s="217"/>
      <c r="CX297" s="217"/>
      <c r="CY297" s="217"/>
      <c r="CZ297" s="217"/>
      <c r="DA297" s="229"/>
      <c r="DB297" s="217"/>
      <c r="DC297" s="217"/>
      <c r="DD297" s="217"/>
      <c r="DE297" s="217"/>
      <c r="DF297" s="217"/>
      <c r="DG297" s="229"/>
      <c r="DH297" s="217"/>
      <c r="DI297" s="217"/>
      <c r="DJ297" s="217"/>
      <c r="DK297" s="217"/>
      <c r="DL297" s="217"/>
      <c r="DM297" s="229"/>
      <c r="DN297" s="217"/>
      <c r="DO297" s="217"/>
      <c r="DP297" s="217"/>
      <c r="DQ297" s="217"/>
      <c r="DR297" s="217"/>
      <c r="DS297" s="229"/>
      <c r="DT297" s="229"/>
      <c r="DU297" s="229"/>
      <c r="DV297" s="217"/>
      <c r="DW297" s="217"/>
      <c r="DX297" s="230"/>
      <c r="DY297" s="231"/>
      <c r="DZ297" s="231"/>
      <c r="EA297" s="230"/>
      <c r="EB297" s="232"/>
      <c r="EC297" s="217"/>
      <c r="ED297" s="233"/>
      <c r="EE297" s="234"/>
      <c r="EF297" s="233"/>
      <c r="EG297" s="235"/>
      <c r="EH297" s="236"/>
      <c r="EI297" s="217"/>
      <c r="EJ297" s="237"/>
      <c r="EK297" s="217"/>
      <c r="EL297" s="217"/>
      <c r="EM297" s="238"/>
      <c r="EN297" s="236"/>
      <c r="EO297" s="239"/>
      <c r="EP297" s="236"/>
      <c r="EQ297" s="217"/>
      <c r="ER297" s="217"/>
      <c r="ES297" s="236"/>
      <c r="ET297" s="236"/>
      <c r="EU297" s="236"/>
      <c r="EV297" s="239"/>
      <c r="EW297" s="236"/>
      <c r="EX297" s="217"/>
      <c r="EY297" s="240"/>
      <c r="EZ297" s="241"/>
      <c r="FA297" s="240"/>
      <c r="FB297" s="241"/>
      <c r="FC297" s="240"/>
      <c r="FD297" s="217"/>
      <c r="FE297" s="240"/>
      <c r="FF297" s="217"/>
      <c r="FG297" s="217"/>
      <c r="FH297" s="217"/>
      <c r="FI297" s="217"/>
      <c r="FJ297" s="217"/>
      <c r="FK297" s="240"/>
      <c r="FL297" s="217"/>
      <c r="FM297" s="240"/>
      <c r="FN297" s="217"/>
      <c r="FO297" s="240"/>
      <c r="FP297" s="217"/>
      <c r="FQ297" s="240"/>
      <c r="FR297" s="217"/>
      <c r="FS297" s="236"/>
      <c r="FT297" s="236"/>
      <c r="FU297" s="236"/>
      <c r="FV297" s="236"/>
      <c r="FW297" s="239"/>
      <c r="FX297" s="236"/>
      <c r="FY297" s="217"/>
      <c r="FZ297" s="240"/>
      <c r="GA297" s="217"/>
      <c r="GB297" s="242"/>
      <c r="GC297" s="217"/>
      <c r="GD297" s="240"/>
      <c r="GE297" s="240"/>
      <c r="GF297" s="240"/>
      <c r="GG297" s="240"/>
      <c r="GH297" s="240"/>
      <c r="GI297" s="217"/>
      <c r="GJ297" s="217"/>
      <c r="GK297" s="239"/>
      <c r="GL297" s="243"/>
    </row>
    <row r="298" ht="15.75" customHeight="1">
      <c r="A298" s="247" t="s">
        <v>702</v>
      </c>
      <c r="B298" s="248">
        <v>1804466.0</v>
      </c>
      <c r="C298" s="212" t="s">
        <v>1746</v>
      </c>
      <c r="D298" s="249">
        <v>43889.50833333333</v>
      </c>
      <c r="E298" s="247" t="s">
        <v>325</v>
      </c>
      <c r="F298" s="215" t="s">
        <v>1747</v>
      </c>
      <c r="G298" s="215" t="s">
        <v>1748</v>
      </c>
      <c r="H298" s="250">
        <v>43888.0</v>
      </c>
      <c r="I298" s="212" t="s">
        <v>1749</v>
      </c>
      <c r="J298" s="212" t="s">
        <v>1746</v>
      </c>
      <c r="K298" s="247" t="s">
        <v>448</v>
      </c>
      <c r="L298" s="247" t="s">
        <v>390</v>
      </c>
      <c r="M298" s="247" t="s">
        <v>31</v>
      </c>
      <c r="N298" s="247" t="s">
        <v>82</v>
      </c>
      <c r="O298" s="247" t="s">
        <v>35</v>
      </c>
      <c r="P298" s="217"/>
      <c r="Q298" s="247" t="s">
        <v>169</v>
      </c>
      <c r="R298" s="253">
        <v>1.5</v>
      </c>
      <c r="S298" s="246"/>
      <c r="T298" s="220"/>
      <c r="U298" s="255"/>
      <c r="V298" s="221"/>
      <c r="W298" s="255"/>
      <c r="X298" s="222"/>
      <c r="Y298" s="222"/>
      <c r="Z298" s="247" t="s">
        <v>86</v>
      </c>
      <c r="AA298" s="247" t="s">
        <v>37</v>
      </c>
      <c r="AB298" s="247" t="s">
        <v>38</v>
      </c>
      <c r="AC298" s="247" t="s">
        <v>469</v>
      </c>
      <c r="AD298" s="247" t="s">
        <v>89</v>
      </c>
      <c r="AE298" s="247" t="s">
        <v>89</v>
      </c>
      <c r="AF298" s="247" t="s">
        <v>469</v>
      </c>
      <c r="AG298" s="255">
        <v>2.697E10</v>
      </c>
      <c r="AH298" s="224" t="str">
        <f t="shared" si="609"/>
        <v>$25B-$50B</v>
      </c>
      <c r="AI298" s="255">
        <v>2.697E10</v>
      </c>
      <c r="AJ298" s="224" t="str">
        <f t="shared" si="610"/>
        <v>$25B-$50B</v>
      </c>
      <c r="AK298" s="254">
        <v>0.035</v>
      </c>
      <c r="AL298" s="248"/>
      <c r="AM298" s="248">
        <v>11.0</v>
      </c>
      <c r="AN298" s="247" t="s">
        <v>89</v>
      </c>
      <c r="AO298" s="247" t="s">
        <v>89</v>
      </c>
      <c r="AP298" s="247" t="s">
        <v>40</v>
      </c>
      <c r="AQ298" s="212" t="s">
        <v>89</v>
      </c>
      <c r="AR298" s="212" t="s">
        <v>89</v>
      </c>
      <c r="AS298" s="247" t="s">
        <v>469</v>
      </c>
      <c r="AT298" s="247" t="s">
        <v>469</v>
      </c>
      <c r="AU298" s="247" t="s">
        <v>493</v>
      </c>
      <c r="AV298" s="247" t="s">
        <v>493</v>
      </c>
      <c r="AW298" s="255">
        <v>0.0</v>
      </c>
      <c r="AX298" s="255"/>
      <c r="AY298" s="255">
        <v>0.0</v>
      </c>
      <c r="AZ298" s="255">
        <v>0.0</v>
      </c>
      <c r="BA298" s="219"/>
      <c r="BB298" s="219">
        <f t="shared" si="611"/>
        <v>1</v>
      </c>
      <c r="BC298" s="247"/>
      <c r="BD298" s="247" t="s">
        <v>107</v>
      </c>
      <c r="BE298" s="217"/>
      <c r="BF298" s="247" t="s">
        <v>493</v>
      </c>
      <c r="BG298" s="248">
        <v>1.0</v>
      </c>
      <c r="BH298" s="248">
        <v>1.0</v>
      </c>
      <c r="BI298" s="229" t="s">
        <v>469</v>
      </c>
      <c r="BJ298" s="247" t="s">
        <v>469</v>
      </c>
      <c r="BK298" s="247" t="s">
        <v>469</v>
      </c>
      <c r="BL298" s="247" t="s">
        <v>469</v>
      </c>
      <c r="BM298" s="248">
        <v>3.0</v>
      </c>
      <c r="BN298" s="248">
        <v>2.0</v>
      </c>
      <c r="BO298" s="248">
        <v>0.0</v>
      </c>
      <c r="BP298" s="248">
        <v>0.0</v>
      </c>
      <c r="BQ298" s="229"/>
      <c r="BR298" s="258">
        <v>2.0</v>
      </c>
      <c r="BS298" s="258">
        <v>0.0</v>
      </c>
      <c r="BT298" s="258">
        <v>0.0</v>
      </c>
      <c r="BU298" s="258">
        <v>44.0</v>
      </c>
      <c r="BV298" s="229" t="s">
        <v>469</v>
      </c>
      <c r="BW298" s="229"/>
      <c r="BX298" s="217"/>
      <c r="BY298" s="217"/>
      <c r="BZ298" s="217"/>
      <c r="CA298" s="217"/>
      <c r="CB298" s="217"/>
      <c r="CC298" s="229"/>
      <c r="CD298" s="217"/>
      <c r="CE298" s="217"/>
      <c r="CF298" s="217"/>
      <c r="CG298" s="217"/>
      <c r="CH298" s="217"/>
      <c r="CI298" s="229"/>
      <c r="CJ298" s="217"/>
      <c r="CK298" s="217"/>
      <c r="CL298" s="217"/>
      <c r="CM298" s="217"/>
      <c r="CN298" s="217"/>
      <c r="CO298" s="229"/>
      <c r="CP298" s="217"/>
      <c r="CQ298" s="217"/>
      <c r="CR298" s="217"/>
      <c r="CS298" s="217"/>
      <c r="CT298" s="217"/>
      <c r="CU298" s="229"/>
      <c r="CV298" s="217"/>
      <c r="CW298" s="217"/>
      <c r="CX298" s="217"/>
      <c r="CY298" s="217"/>
      <c r="CZ298" s="217"/>
      <c r="DA298" s="229"/>
      <c r="DB298" s="217"/>
      <c r="DC298" s="217"/>
      <c r="DD298" s="217"/>
      <c r="DE298" s="217"/>
      <c r="DF298" s="217"/>
      <c r="DG298" s="229"/>
      <c r="DH298" s="217"/>
      <c r="DI298" s="217"/>
      <c r="DJ298" s="217"/>
      <c r="DK298" s="217"/>
      <c r="DL298" s="217"/>
      <c r="DM298" s="229"/>
      <c r="DN298" s="217"/>
      <c r="DO298" s="217"/>
      <c r="DP298" s="217"/>
      <c r="DQ298" s="217"/>
      <c r="DR298" s="217"/>
      <c r="DS298" s="229"/>
      <c r="DT298" s="229"/>
      <c r="DU298" s="229"/>
      <c r="DV298" s="217"/>
      <c r="DW298" s="217"/>
      <c r="DX298" s="230"/>
      <c r="DY298" s="231"/>
      <c r="DZ298" s="231"/>
      <c r="EA298" s="230"/>
      <c r="EB298" s="232"/>
      <c r="EC298" s="217"/>
      <c r="ED298" s="233"/>
      <c r="EE298" s="234"/>
      <c r="EF298" s="233"/>
      <c r="EG298" s="235"/>
      <c r="EH298" s="236"/>
      <c r="EI298" s="217"/>
      <c r="EJ298" s="237"/>
      <c r="EK298" s="217"/>
      <c r="EL298" s="217"/>
      <c r="EM298" s="238"/>
      <c r="EN298" s="236"/>
      <c r="EO298" s="239"/>
      <c r="EP298" s="236"/>
      <c r="EQ298" s="217"/>
      <c r="ER298" s="217"/>
      <c r="ES298" s="236"/>
      <c r="ET298" s="236"/>
      <c r="EU298" s="236"/>
      <c r="EV298" s="239"/>
      <c r="EW298" s="236"/>
      <c r="EX298" s="217"/>
      <c r="EY298" s="240"/>
      <c r="EZ298" s="241"/>
      <c r="FA298" s="240"/>
      <c r="FB298" s="241"/>
      <c r="FC298" s="240"/>
      <c r="FD298" s="217"/>
      <c r="FE298" s="240"/>
      <c r="FF298" s="217"/>
      <c r="FG298" s="217"/>
      <c r="FH298" s="217"/>
      <c r="FI298" s="217"/>
      <c r="FJ298" s="217"/>
      <c r="FK298" s="240"/>
      <c r="FL298" s="217"/>
      <c r="FM298" s="240"/>
      <c r="FN298" s="217"/>
      <c r="FO298" s="240"/>
      <c r="FP298" s="217"/>
      <c r="FQ298" s="240"/>
      <c r="FR298" s="217"/>
      <c r="FS298" s="236"/>
      <c r="FT298" s="236"/>
      <c r="FU298" s="236"/>
      <c r="FV298" s="236"/>
      <c r="FW298" s="239"/>
      <c r="FX298" s="236"/>
      <c r="FY298" s="217"/>
      <c r="FZ298" s="240"/>
      <c r="GA298" s="217"/>
      <c r="GB298" s="242"/>
      <c r="GC298" s="217"/>
      <c r="GD298" s="240"/>
      <c r="GE298" s="240"/>
      <c r="GF298" s="240"/>
      <c r="GG298" s="240"/>
      <c r="GH298" s="240"/>
      <c r="GI298" s="217"/>
      <c r="GJ298" s="217"/>
      <c r="GK298" s="239"/>
      <c r="GL298" s="243"/>
    </row>
    <row r="299" ht="15.75" customHeight="1">
      <c r="A299" s="247" t="s">
        <v>702</v>
      </c>
      <c r="B299" s="248">
        <v>1804876.0</v>
      </c>
      <c r="C299" s="212" t="s">
        <v>1750</v>
      </c>
      <c r="D299" s="249">
        <v>43889.51111111111</v>
      </c>
      <c r="E299" s="247" t="s">
        <v>325</v>
      </c>
      <c r="F299" s="215" t="s">
        <v>1751</v>
      </c>
      <c r="G299" s="215" t="s">
        <v>1752</v>
      </c>
      <c r="H299" s="250">
        <v>43888.0</v>
      </c>
      <c r="I299" s="251" t="s">
        <v>1753</v>
      </c>
      <c r="J299" s="212" t="s">
        <v>1754</v>
      </c>
      <c r="K299" s="247" t="s">
        <v>529</v>
      </c>
      <c r="L299" s="247" t="s">
        <v>390</v>
      </c>
      <c r="M299" s="247" t="s">
        <v>31</v>
      </c>
      <c r="N299" s="247" t="s">
        <v>82</v>
      </c>
      <c r="O299" s="247" t="s">
        <v>35</v>
      </c>
      <c r="P299" s="217"/>
      <c r="Q299" s="247" t="s">
        <v>169</v>
      </c>
      <c r="R299" s="253">
        <v>1.5</v>
      </c>
      <c r="S299" s="246"/>
      <c r="T299" s="220"/>
      <c r="U299" s="255"/>
      <c r="V299" s="221"/>
      <c r="W299" s="255"/>
      <c r="X299" s="222"/>
      <c r="Y299" s="222"/>
      <c r="Z299" s="247" t="s">
        <v>36</v>
      </c>
      <c r="AA299" s="247" t="s">
        <v>87</v>
      </c>
      <c r="AB299" s="247" t="s">
        <v>38</v>
      </c>
      <c r="AC299" s="247" t="s">
        <v>469</v>
      </c>
      <c r="AD299" s="247" t="s">
        <v>89</v>
      </c>
      <c r="AE299" s="247" t="s">
        <v>89</v>
      </c>
      <c r="AF299" s="247" t="s">
        <v>469</v>
      </c>
      <c r="AG299" s="255">
        <v>4.90675E10</v>
      </c>
      <c r="AH299" s="224" t="str">
        <f t="shared" si="609"/>
        <v>$25B-$50B</v>
      </c>
      <c r="AI299" s="255">
        <v>4.90675E10</v>
      </c>
      <c r="AJ299" s="224" t="str">
        <f t="shared" si="610"/>
        <v>$25B-$50B</v>
      </c>
      <c r="AK299" s="254">
        <v>0.033</v>
      </c>
      <c r="AL299" s="248"/>
      <c r="AM299" s="248">
        <v>100.0</v>
      </c>
      <c r="AN299" s="247" t="s">
        <v>89</v>
      </c>
      <c r="AO299" s="247" t="s">
        <v>89</v>
      </c>
      <c r="AP299" s="247" t="s">
        <v>40</v>
      </c>
      <c r="AQ299" s="212" t="s">
        <v>89</v>
      </c>
      <c r="AR299" s="212" t="s">
        <v>39</v>
      </c>
      <c r="AS299" s="247" t="s">
        <v>469</v>
      </c>
      <c r="AT299" s="247" t="s">
        <v>469</v>
      </c>
      <c r="AU299" s="247" t="s">
        <v>493</v>
      </c>
      <c r="AV299" s="247" t="s">
        <v>493</v>
      </c>
      <c r="AW299" s="255">
        <v>0.0</v>
      </c>
      <c r="AX299" s="255"/>
      <c r="AY299" s="255">
        <v>0.0</v>
      </c>
      <c r="AZ299" s="255">
        <v>0.0</v>
      </c>
      <c r="BA299" s="219"/>
      <c r="BB299" s="219">
        <f t="shared" si="611"/>
        <v>1</v>
      </c>
      <c r="BC299" s="247"/>
      <c r="BD299" s="247" t="s">
        <v>107</v>
      </c>
      <c r="BE299" s="217"/>
      <c r="BF299" s="247" t="s">
        <v>469</v>
      </c>
      <c r="BG299" s="248">
        <v>0.0</v>
      </c>
      <c r="BH299" s="248">
        <v>1.0</v>
      </c>
      <c r="BI299" s="229" t="s">
        <v>469</v>
      </c>
      <c r="BJ299" s="247" t="s">
        <v>469</v>
      </c>
      <c r="BK299" s="247" t="s">
        <v>469</v>
      </c>
      <c r="BL299" s="247" t="s">
        <v>469</v>
      </c>
      <c r="BM299" s="248">
        <v>1.0</v>
      </c>
      <c r="BN299" s="248">
        <v>2.0</v>
      </c>
      <c r="BO299" s="248">
        <v>0.0</v>
      </c>
      <c r="BP299" s="248">
        <v>0.0</v>
      </c>
      <c r="BQ299" s="229"/>
      <c r="BR299" s="258">
        <v>2.0</v>
      </c>
      <c r="BS299" s="258">
        <v>0.0</v>
      </c>
      <c r="BT299" s="258">
        <v>0.0</v>
      </c>
      <c r="BU299" s="248">
        <v>42.0</v>
      </c>
      <c r="BV299" s="229" t="s">
        <v>469</v>
      </c>
      <c r="BW299" s="229"/>
      <c r="BX299" s="217"/>
      <c r="BY299" s="217"/>
      <c r="BZ299" s="217"/>
      <c r="CA299" s="217"/>
      <c r="CB299" s="217"/>
      <c r="CC299" s="229"/>
      <c r="CD299" s="217"/>
      <c r="CE299" s="217"/>
      <c r="CF299" s="217"/>
      <c r="CG299" s="217"/>
      <c r="CH299" s="217"/>
      <c r="CI299" s="229"/>
      <c r="CJ299" s="217"/>
      <c r="CK299" s="217"/>
      <c r="CL299" s="217"/>
      <c r="CM299" s="217"/>
      <c r="CN299" s="217"/>
      <c r="CO299" s="229"/>
      <c r="CP299" s="217"/>
      <c r="CQ299" s="217"/>
      <c r="CR299" s="217"/>
      <c r="CS299" s="217"/>
      <c r="CT299" s="217"/>
      <c r="CU299" s="229"/>
      <c r="CV299" s="217"/>
      <c r="CW299" s="217"/>
      <c r="CX299" s="217"/>
      <c r="CY299" s="217"/>
      <c r="CZ299" s="217"/>
      <c r="DA299" s="229"/>
      <c r="DB299" s="217"/>
      <c r="DC299" s="217"/>
      <c r="DD299" s="217"/>
      <c r="DE299" s="217"/>
      <c r="DF299" s="217"/>
      <c r="DG299" s="229"/>
      <c r="DH299" s="217"/>
      <c r="DI299" s="217"/>
      <c r="DJ299" s="217"/>
      <c r="DK299" s="217"/>
      <c r="DL299" s="217"/>
      <c r="DM299" s="229"/>
      <c r="DN299" s="217"/>
      <c r="DO299" s="217"/>
      <c r="DP299" s="217"/>
      <c r="DQ299" s="217"/>
      <c r="DR299" s="217"/>
      <c r="DS299" s="229"/>
      <c r="DT299" s="229"/>
      <c r="DU299" s="229"/>
      <c r="DV299" s="217"/>
      <c r="DW299" s="217"/>
      <c r="DX299" s="230"/>
      <c r="DY299" s="231"/>
      <c r="DZ299" s="231"/>
      <c r="EA299" s="230"/>
      <c r="EB299" s="232"/>
      <c r="EC299" s="217"/>
      <c r="ED299" s="233"/>
      <c r="EE299" s="234"/>
      <c r="EF299" s="233"/>
      <c r="EG299" s="235"/>
      <c r="EH299" s="236"/>
      <c r="EI299" s="217"/>
      <c r="EJ299" s="237"/>
      <c r="EK299" s="217"/>
      <c r="EL299" s="217"/>
      <c r="EM299" s="238"/>
      <c r="EN299" s="236"/>
      <c r="EO299" s="239"/>
      <c r="EP299" s="236"/>
      <c r="EQ299" s="217"/>
      <c r="ER299" s="217"/>
      <c r="ES299" s="236"/>
      <c r="ET299" s="236"/>
      <c r="EU299" s="236"/>
      <c r="EV299" s="239"/>
      <c r="EW299" s="236"/>
      <c r="EX299" s="217"/>
      <c r="EY299" s="240"/>
      <c r="EZ299" s="241"/>
      <c r="FA299" s="240"/>
      <c r="FB299" s="241"/>
      <c r="FC299" s="240"/>
      <c r="FD299" s="217"/>
      <c r="FE299" s="240"/>
      <c r="FF299" s="217"/>
      <c r="FG299" s="217"/>
      <c r="FH299" s="217"/>
      <c r="FI299" s="217"/>
      <c r="FJ299" s="217"/>
      <c r="FK299" s="240"/>
      <c r="FL299" s="217"/>
      <c r="FM299" s="240"/>
      <c r="FN299" s="217"/>
      <c r="FO299" s="240"/>
      <c r="FP299" s="217"/>
      <c r="FQ299" s="240"/>
      <c r="FR299" s="217"/>
      <c r="FS299" s="236"/>
      <c r="FT299" s="236"/>
      <c r="FU299" s="236"/>
      <c r="FV299" s="236"/>
      <c r="FW299" s="239"/>
      <c r="FX299" s="236"/>
      <c r="FY299" s="217"/>
      <c r="FZ299" s="240"/>
      <c r="GA299" s="217"/>
      <c r="GB299" s="242"/>
      <c r="GC299" s="217"/>
      <c r="GD299" s="240"/>
      <c r="GE299" s="240"/>
      <c r="GF299" s="240"/>
      <c r="GG299" s="240"/>
      <c r="GH299" s="240"/>
      <c r="GI299" s="217"/>
      <c r="GJ299" s="217"/>
      <c r="GK299" s="239"/>
      <c r="GL299" s="243"/>
    </row>
    <row r="300" ht="15.75" customHeight="1">
      <c r="A300" s="247" t="s">
        <v>702</v>
      </c>
      <c r="B300" s="248">
        <v>1804624.0</v>
      </c>
      <c r="C300" s="212" t="s">
        <v>1755</v>
      </c>
      <c r="D300" s="249">
        <v>43889.51458333333</v>
      </c>
      <c r="E300" s="247" t="s">
        <v>325</v>
      </c>
      <c r="F300" s="215" t="s">
        <v>1756</v>
      </c>
      <c r="G300" s="215" t="s">
        <v>1757</v>
      </c>
      <c r="H300" s="250">
        <v>43888.0</v>
      </c>
      <c r="I300" s="212" t="s">
        <v>1758</v>
      </c>
      <c r="J300" s="212" t="s">
        <v>1759</v>
      </c>
      <c r="K300" s="247" t="s">
        <v>448</v>
      </c>
      <c r="L300" s="247" t="s">
        <v>390</v>
      </c>
      <c r="M300" s="247" t="s">
        <v>31</v>
      </c>
      <c r="N300" s="247" t="s">
        <v>82</v>
      </c>
      <c r="O300" s="247" t="s">
        <v>35</v>
      </c>
      <c r="P300" s="217"/>
      <c r="Q300" s="247" t="s">
        <v>169</v>
      </c>
      <c r="R300" s="253">
        <v>1.6</v>
      </c>
      <c r="S300" s="246"/>
      <c r="T300" s="220"/>
      <c r="U300" s="220"/>
      <c r="V300" s="221"/>
      <c r="W300" s="220"/>
      <c r="X300" s="222"/>
      <c r="Y300" s="222"/>
      <c r="Z300" s="247" t="s">
        <v>36</v>
      </c>
      <c r="AA300" s="247" t="s">
        <v>123</v>
      </c>
      <c r="AB300" s="247" t="s">
        <v>38</v>
      </c>
      <c r="AC300" s="247" t="s">
        <v>469</v>
      </c>
      <c r="AD300" s="247" t="s">
        <v>89</v>
      </c>
      <c r="AE300" s="247" t="s">
        <v>39</v>
      </c>
      <c r="AF300" s="247" t="s">
        <v>469</v>
      </c>
      <c r="AG300" s="220">
        <v>1.142E11</v>
      </c>
      <c r="AH300" s="224" t="str">
        <f t="shared" si="609"/>
        <v>$100B-$250B</v>
      </c>
      <c r="AI300" s="220">
        <v>2.76E10</v>
      </c>
      <c r="AJ300" s="224" t="str">
        <f t="shared" si="610"/>
        <v>$25B-$50B</v>
      </c>
      <c r="AK300" s="254">
        <v>0.07</v>
      </c>
      <c r="AL300" s="248"/>
      <c r="AM300" s="248">
        <v>2000.0</v>
      </c>
      <c r="AN300" s="247" t="s">
        <v>89</v>
      </c>
      <c r="AO300" s="247" t="s">
        <v>89</v>
      </c>
      <c r="AP300" s="247" t="s">
        <v>40</v>
      </c>
      <c r="AQ300" s="212" t="s">
        <v>89</v>
      </c>
      <c r="AR300" s="212" t="s">
        <v>39</v>
      </c>
      <c r="AS300" s="247" t="s">
        <v>469</v>
      </c>
      <c r="AT300" s="247" t="s">
        <v>469</v>
      </c>
      <c r="AU300" s="247" t="s">
        <v>493</v>
      </c>
      <c r="AV300" s="247" t="s">
        <v>493</v>
      </c>
      <c r="AW300" s="220">
        <v>0.0</v>
      </c>
      <c r="AX300" s="220"/>
      <c r="AY300" s="220">
        <v>0.0</v>
      </c>
      <c r="AZ300" s="255">
        <v>0.0</v>
      </c>
      <c r="BA300" s="219"/>
      <c r="BB300" s="219">
        <f t="shared" si="611"/>
        <v>1</v>
      </c>
      <c r="BC300" s="247"/>
      <c r="BD300" s="247" t="s">
        <v>107</v>
      </c>
      <c r="BE300" s="217"/>
      <c r="BF300" s="247" t="s">
        <v>469</v>
      </c>
      <c r="BG300" s="248">
        <v>0.0</v>
      </c>
      <c r="BH300" s="248">
        <v>2.0</v>
      </c>
      <c r="BI300" s="247" t="s">
        <v>469</v>
      </c>
      <c r="BJ300" s="247" t="s">
        <v>469</v>
      </c>
      <c r="BK300" s="247" t="s">
        <v>469</v>
      </c>
      <c r="BL300" s="247" t="s">
        <v>469</v>
      </c>
      <c r="BM300" s="248">
        <v>5.0</v>
      </c>
      <c r="BN300" s="248">
        <v>7.0</v>
      </c>
      <c r="BO300" s="248">
        <v>0.0</v>
      </c>
      <c r="BP300" s="248">
        <v>0.0</v>
      </c>
      <c r="BQ300" s="229"/>
      <c r="BR300" s="258">
        <v>18.0</v>
      </c>
      <c r="BS300" s="258">
        <v>0.0</v>
      </c>
      <c r="BT300" s="258">
        <v>0.0</v>
      </c>
      <c r="BU300" s="258">
        <v>64.0</v>
      </c>
      <c r="BV300" s="229" t="s">
        <v>469</v>
      </c>
      <c r="BW300" s="229"/>
      <c r="BX300" s="241">
        <v>9.0</v>
      </c>
      <c r="BY300" s="241">
        <v>1.0</v>
      </c>
      <c r="BZ300" s="241">
        <v>0.0</v>
      </c>
      <c r="CA300" s="241">
        <v>36.0</v>
      </c>
      <c r="CB300" s="217" t="s">
        <v>493</v>
      </c>
      <c r="CC300" s="229"/>
      <c r="CD300" s="217"/>
      <c r="CE300" s="217"/>
      <c r="CF300" s="217"/>
      <c r="CG300" s="217"/>
      <c r="CH300" s="217"/>
      <c r="CI300" s="229"/>
      <c r="CJ300" s="217"/>
      <c r="CK300" s="217"/>
      <c r="CL300" s="217"/>
      <c r="CM300" s="217"/>
      <c r="CN300" s="217"/>
      <c r="CO300" s="229"/>
      <c r="CP300" s="217"/>
      <c r="CQ300" s="217"/>
      <c r="CR300" s="217"/>
      <c r="CS300" s="217"/>
      <c r="CT300" s="217"/>
      <c r="CU300" s="229"/>
      <c r="CV300" s="217"/>
      <c r="CW300" s="217"/>
      <c r="CX300" s="217"/>
      <c r="CY300" s="217"/>
      <c r="CZ300" s="217"/>
      <c r="DA300" s="229"/>
      <c r="DB300" s="217"/>
      <c r="DC300" s="217"/>
      <c r="DD300" s="217"/>
      <c r="DE300" s="217"/>
      <c r="DF300" s="217"/>
      <c r="DG300" s="229"/>
      <c r="DH300" s="217"/>
      <c r="DI300" s="217"/>
      <c r="DJ300" s="217"/>
      <c r="DK300" s="217"/>
      <c r="DL300" s="217"/>
      <c r="DM300" s="229"/>
      <c r="DN300" s="217"/>
      <c r="DO300" s="217"/>
      <c r="DP300" s="217"/>
      <c r="DQ300" s="217"/>
      <c r="DR300" s="217"/>
      <c r="DS300" s="229"/>
      <c r="DT300" s="229"/>
      <c r="DU300" s="229"/>
      <c r="DV300" s="217"/>
      <c r="DW300" s="217"/>
      <c r="DX300" s="230"/>
      <c r="DY300" s="231"/>
      <c r="DZ300" s="231"/>
      <c r="EA300" s="230"/>
      <c r="EB300" s="232"/>
      <c r="EC300" s="217"/>
      <c r="ED300" s="233"/>
      <c r="EE300" s="234"/>
      <c r="EF300" s="233"/>
      <c r="EG300" s="235"/>
      <c r="EH300" s="236"/>
      <c r="EI300" s="217"/>
      <c r="EJ300" s="237"/>
      <c r="EK300" s="217"/>
      <c r="EL300" s="217"/>
      <c r="EM300" s="238"/>
      <c r="EN300" s="236"/>
      <c r="EO300" s="239"/>
      <c r="EP300" s="236"/>
      <c r="EQ300" s="217"/>
      <c r="ER300" s="217"/>
      <c r="ES300" s="236"/>
      <c r="ET300" s="236"/>
      <c r="EU300" s="236"/>
      <c r="EV300" s="239"/>
      <c r="EW300" s="236"/>
      <c r="EX300" s="217"/>
      <c r="EY300" s="240"/>
      <c r="EZ300" s="241"/>
      <c r="FA300" s="240"/>
      <c r="FB300" s="241"/>
      <c r="FC300" s="240"/>
      <c r="FD300" s="217"/>
      <c r="FE300" s="240"/>
      <c r="FF300" s="217"/>
      <c r="FG300" s="217"/>
      <c r="FH300" s="217"/>
      <c r="FI300" s="217"/>
      <c r="FJ300" s="217"/>
      <c r="FK300" s="240"/>
      <c r="FL300" s="217"/>
      <c r="FM300" s="240"/>
      <c r="FN300" s="217"/>
      <c r="FO300" s="240"/>
      <c r="FP300" s="217"/>
      <c r="FQ300" s="240"/>
      <c r="FR300" s="217"/>
      <c r="FS300" s="236"/>
      <c r="FT300" s="236"/>
      <c r="FU300" s="236"/>
      <c r="FV300" s="236"/>
      <c r="FW300" s="239"/>
      <c r="FX300" s="236"/>
      <c r="FY300" s="217"/>
      <c r="FZ300" s="240"/>
      <c r="GA300" s="217"/>
      <c r="GB300" s="242"/>
      <c r="GC300" s="217"/>
      <c r="GD300" s="240"/>
      <c r="GE300" s="240"/>
      <c r="GF300" s="240"/>
      <c r="GG300" s="240"/>
      <c r="GH300" s="240"/>
      <c r="GI300" s="217"/>
      <c r="GJ300" s="217"/>
      <c r="GK300" s="239"/>
      <c r="GL300" s="243"/>
    </row>
    <row r="301" ht="15.75" customHeight="1">
      <c r="A301" s="229" t="s">
        <v>681</v>
      </c>
      <c r="B301" s="258">
        <v>1796091.0</v>
      </c>
      <c r="C301" s="259" t="s">
        <v>1760</v>
      </c>
      <c r="D301" s="260">
        <v>43836.489583333336</v>
      </c>
      <c r="E301" s="229" t="s">
        <v>392</v>
      </c>
      <c r="F301" s="261" t="s">
        <v>1761</v>
      </c>
      <c r="G301" s="261" t="s">
        <v>1762</v>
      </c>
      <c r="H301" s="262">
        <v>43812.0</v>
      </c>
      <c r="I301" s="259" t="s">
        <v>1763</v>
      </c>
      <c r="J301" s="259" t="s">
        <v>1760</v>
      </c>
      <c r="K301" s="229" t="s">
        <v>496</v>
      </c>
      <c r="L301" s="229" t="s">
        <v>390</v>
      </c>
      <c r="M301" s="229" t="s">
        <v>31</v>
      </c>
      <c r="N301" s="229" t="s">
        <v>32</v>
      </c>
      <c r="O301" s="229" t="s">
        <v>35</v>
      </c>
      <c r="P301" s="217"/>
      <c r="Q301" s="229" t="s">
        <v>169</v>
      </c>
      <c r="R301" s="263">
        <v>1.2</v>
      </c>
      <c r="S301" s="246"/>
      <c r="T301" s="220"/>
      <c r="U301" s="220"/>
      <c r="V301" s="221"/>
      <c r="W301" s="220"/>
      <c r="X301" s="222"/>
      <c r="Y301" s="222"/>
      <c r="Z301" s="229" t="s">
        <v>36</v>
      </c>
      <c r="AA301" s="229" t="s">
        <v>123</v>
      </c>
      <c r="AB301" s="229" t="s">
        <v>38</v>
      </c>
      <c r="AC301" s="229" t="s">
        <v>469</v>
      </c>
      <c r="AD301" s="229" t="s">
        <v>89</v>
      </c>
      <c r="AE301" s="229" t="s">
        <v>89</v>
      </c>
      <c r="AF301" s="229" t="s">
        <v>469</v>
      </c>
      <c r="AG301" s="264">
        <v>5.0E10</v>
      </c>
      <c r="AH301" s="224" t="str">
        <f t="shared" si="609"/>
        <v>$50B-$100B</v>
      </c>
      <c r="AI301" s="264">
        <v>1.0E8</v>
      </c>
      <c r="AJ301" s="224" t="str">
        <f t="shared" si="610"/>
        <v>$100M-$250M</v>
      </c>
      <c r="AK301" s="237">
        <v>0.02</v>
      </c>
      <c r="AL301" s="258"/>
      <c r="AM301" s="258">
        <v>200.0</v>
      </c>
      <c r="AN301" s="229" t="s">
        <v>89</v>
      </c>
      <c r="AO301" s="229" t="s">
        <v>89</v>
      </c>
      <c r="AP301" s="229" t="s">
        <v>40</v>
      </c>
      <c r="AQ301" s="259" t="s">
        <v>89</v>
      </c>
      <c r="AR301" s="259" t="s">
        <v>39</v>
      </c>
      <c r="AS301" s="229" t="s">
        <v>469</v>
      </c>
      <c r="AT301" s="229" t="s">
        <v>469</v>
      </c>
      <c r="AU301" s="229" t="s">
        <v>469</v>
      </c>
      <c r="AV301" s="229" t="s">
        <v>469</v>
      </c>
      <c r="AW301" s="264">
        <v>0.0</v>
      </c>
      <c r="AX301" s="264"/>
      <c r="AY301" s="264">
        <v>594.0</v>
      </c>
      <c r="AZ301" s="264">
        <v>10600.0</v>
      </c>
      <c r="BA301" s="219"/>
      <c r="BB301" s="219">
        <f t="shared" si="611"/>
        <v>0.05603773585</v>
      </c>
      <c r="BC301" s="229"/>
      <c r="BD301" s="229" t="s">
        <v>41</v>
      </c>
      <c r="BE301" s="217"/>
      <c r="BF301" s="229" t="s">
        <v>469</v>
      </c>
      <c r="BG301" s="258">
        <v>0.0</v>
      </c>
      <c r="BH301" s="258">
        <v>1.0</v>
      </c>
      <c r="BI301" s="229" t="s">
        <v>469</v>
      </c>
      <c r="BJ301" s="229" t="s">
        <v>469</v>
      </c>
      <c r="BK301" s="229" t="s">
        <v>469</v>
      </c>
      <c r="BL301" s="229" t="s">
        <v>469</v>
      </c>
      <c r="BM301" s="258">
        <v>1.0</v>
      </c>
      <c r="BN301" s="258">
        <v>1.0</v>
      </c>
      <c r="BO301" s="258">
        <v>0.0</v>
      </c>
      <c r="BP301" s="258">
        <v>0.0</v>
      </c>
      <c r="BQ301" s="229"/>
      <c r="BR301" s="258">
        <v>10.0</v>
      </c>
      <c r="BS301" s="258">
        <v>0.0</v>
      </c>
      <c r="BT301" s="258">
        <v>0.0</v>
      </c>
      <c r="BU301" s="258">
        <v>37.0</v>
      </c>
      <c r="BV301" s="229" t="s">
        <v>469</v>
      </c>
      <c r="BW301" s="229"/>
      <c r="BX301" s="217"/>
      <c r="BY301" s="217"/>
      <c r="BZ301" s="217"/>
      <c r="CA301" s="217"/>
      <c r="CB301" s="217"/>
      <c r="CC301" s="229"/>
      <c r="CD301" s="217"/>
      <c r="CE301" s="217"/>
      <c r="CF301" s="217"/>
      <c r="CG301" s="217"/>
      <c r="CH301" s="217"/>
      <c r="CI301" s="229"/>
      <c r="CJ301" s="217"/>
      <c r="CK301" s="217"/>
      <c r="CL301" s="217"/>
      <c r="CM301" s="217"/>
      <c r="CN301" s="217"/>
      <c r="CO301" s="229"/>
      <c r="CP301" s="217"/>
      <c r="CQ301" s="217"/>
      <c r="CR301" s="217"/>
      <c r="CS301" s="217"/>
      <c r="CT301" s="217"/>
      <c r="CU301" s="229"/>
      <c r="CV301" s="217"/>
      <c r="CW301" s="217"/>
      <c r="CX301" s="217"/>
      <c r="CY301" s="217"/>
      <c r="CZ301" s="217"/>
      <c r="DA301" s="229"/>
      <c r="DB301" s="217"/>
      <c r="DC301" s="217"/>
      <c r="DD301" s="217"/>
      <c r="DE301" s="217"/>
      <c r="DF301" s="217"/>
      <c r="DG301" s="229"/>
      <c r="DH301" s="217"/>
      <c r="DI301" s="217"/>
      <c r="DJ301" s="217"/>
      <c r="DK301" s="217"/>
      <c r="DL301" s="217"/>
      <c r="DM301" s="229"/>
      <c r="DN301" s="217"/>
      <c r="DO301" s="217"/>
      <c r="DP301" s="217"/>
      <c r="DQ301" s="217"/>
      <c r="DR301" s="217"/>
      <c r="DS301" s="229"/>
      <c r="DT301" s="229"/>
      <c r="DU301" s="229"/>
      <c r="DV301" s="217"/>
      <c r="DW301" s="217"/>
      <c r="DX301" s="230"/>
      <c r="DY301" s="231"/>
      <c r="DZ301" s="231"/>
      <c r="EA301" s="230"/>
      <c r="EB301" s="232"/>
      <c r="EC301" s="217"/>
      <c r="ED301" s="233"/>
      <c r="EE301" s="234"/>
      <c r="EF301" s="233"/>
      <c r="EG301" s="235"/>
      <c r="EH301" s="236"/>
      <c r="EI301" s="217"/>
      <c r="EJ301" s="237"/>
      <c r="EK301" s="217"/>
      <c r="EL301" s="217"/>
      <c r="EM301" s="238"/>
      <c r="EN301" s="236"/>
      <c r="EO301" s="239"/>
      <c r="EP301" s="236"/>
      <c r="EQ301" s="217"/>
      <c r="ER301" s="217"/>
      <c r="ES301" s="236"/>
      <c r="ET301" s="236"/>
      <c r="EU301" s="236"/>
      <c r="EV301" s="239"/>
      <c r="EW301" s="236"/>
      <c r="EX301" s="217"/>
      <c r="EY301" s="240"/>
      <c r="EZ301" s="241"/>
      <c r="FA301" s="240"/>
      <c r="FB301" s="241"/>
      <c r="FC301" s="240"/>
      <c r="FD301" s="217"/>
      <c r="FE301" s="240"/>
      <c r="FF301" s="217"/>
      <c r="FG301" s="217"/>
      <c r="FH301" s="217"/>
      <c r="FI301" s="217"/>
      <c r="FJ301" s="217"/>
      <c r="FK301" s="240"/>
      <c r="FL301" s="217"/>
      <c r="FM301" s="240"/>
      <c r="FN301" s="217"/>
      <c r="FO301" s="240"/>
      <c r="FP301" s="217"/>
      <c r="FQ301" s="240"/>
      <c r="FR301" s="217"/>
      <c r="FS301" s="236"/>
      <c r="FT301" s="236"/>
      <c r="FU301" s="236"/>
      <c r="FV301" s="236"/>
      <c r="FW301" s="239"/>
      <c r="FX301" s="236"/>
      <c r="FY301" s="217"/>
      <c r="FZ301" s="240"/>
      <c r="GA301" s="217"/>
      <c r="GB301" s="242"/>
      <c r="GC301" s="217"/>
      <c r="GD301" s="240"/>
      <c r="GE301" s="240"/>
      <c r="GF301" s="240"/>
      <c r="GG301" s="240"/>
      <c r="GH301" s="240"/>
      <c r="GI301" s="217"/>
      <c r="GJ301" s="217"/>
      <c r="GK301" s="239"/>
      <c r="GL301" s="243"/>
    </row>
    <row r="302" ht="15.75" customHeight="1">
      <c r="A302" s="229" t="s">
        <v>681</v>
      </c>
      <c r="B302" s="258">
        <v>1803385.0</v>
      </c>
      <c r="C302" s="259" t="s">
        <v>1764</v>
      </c>
      <c r="D302" s="260">
        <v>43875.520833333336</v>
      </c>
      <c r="E302" s="229" t="s">
        <v>325</v>
      </c>
      <c r="F302" s="261" t="s">
        <v>1765</v>
      </c>
      <c r="G302" s="261" t="s">
        <v>1766</v>
      </c>
      <c r="H302" s="262">
        <v>43888.0</v>
      </c>
      <c r="I302" s="259" t="s">
        <v>1767</v>
      </c>
      <c r="J302" s="259" t="s">
        <v>1764</v>
      </c>
      <c r="K302" s="229" t="s">
        <v>422</v>
      </c>
      <c r="L302" s="229" t="s">
        <v>390</v>
      </c>
      <c r="M302" s="229" t="s">
        <v>31</v>
      </c>
      <c r="N302" s="229" t="s">
        <v>32</v>
      </c>
      <c r="O302" s="229" t="s">
        <v>35</v>
      </c>
      <c r="P302" s="217"/>
      <c r="Q302" s="229" t="s">
        <v>169</v>
      </c>
      <c r="R302" s="263">
        <v>1.6</v>
      </c>
      <c r="S302" s="246"/>
      <c r="T302" s="220"/>
      <c r="U302" s="220"/>
      <c r="V302" s="221"/>
      <c r="W302" s="220"/>
      <c r="X302" s="222"/>
      <c r="Y302" s="222"/>
      <c r="Z302" s="229" t="s">
        <v>36</v>
      </c>
      <c r="AA302" s="229" t="s">
        <v>87</v>
      </c>
      <c r="AB302" s="229" t="s">
        <v>38</v>
      </c>
      <c r="AC302" s="229" t="s">
        <v>469</v>
      </c>
      <c r="AD302" s="229" t="s">
        <v>89</v>
      </c>
      <c r="AE302" s="229" t="s">
        <v>39</v>
      </c>
      <c r="AF302" s="229" t="s">
        <v>469</v>
      </c>
      <c r="AG302" s="264">
        <v>9.0E9</v>
      </c>
      <c r="AH302" s="224" t="str">
        <f t="shared" si="609"/>
        <v>$5B-$10B</v>
      </c>
      <c r="AI302" s="264">
        <v>1.0E8</v>
      </c>
      <c r="AJ302" s="224" t="str">
        <f t="shared" si="610"/>
        <v>$100M-$250M</v>
      </c>
      <c r="AK302" s="237">
        <v>0.1</v>
      </c>
      <c r="AL302" s="258"/>
      <c r="AM302" s="258">
        <v>0.0</v>
      </c>
      <c r="AN302" s="229" t="s">
        <v>39</v>
      </c>
      <c r="AO302" s="229" t="s">
        <v>89</v>
      </c>
      <c r="AP302" s="229" t="s">
        <v>90</v>
      </c>
      <c r="AQ302" s="259" t="s">
        <v>89</v>
      </c>
      <c r="AR302" s="259" t="s">
        <v>39</v>
      </c>
      <c r="AS302" s="229" t="s">
        <v>469</v>
      </c>
      <c r="AT302" s="229" t="s">
        <v>469</v>
      </c>
      <c r="AU302" s="229" t="s">
        <v>469</v>
      </c>
      <c r="AV302" s="229" t="s">
        <v>469</v>
      </c>
      <c r="AW302" s="264">
        <v>0.0</v>
      </c>
      <c r="AX302" s="264"/>
      <c r="AY302" s="264">
        <v>0.0</v>
      </c>
      <c r="AZ302" s="264">
        <v>0.0</v>
      </c>
      <c r="BA302" s="219"/>
      <c r="BB302" s="219">
        <f t="shared" si="611"/>
        <v>1</v>
      </c>
      <c r="BC302" s="229"/>
      <c r="BD302" s="229" t="s">
        <v>41</v>
      </c>
      <c r="BE302" s="217"/>
      <c r="BF302" s="229" t="s">
        <v>469</v>
      </c>
      <c r="BG302" s="258">
        <v>0.0</v>
      </c>
      <c r="BH302" s="258">
        <v>1.0</v>
      </c>
      <c r="BI302" s="229" t="s">
        <v>469</v>
      </c>
      <c r="BJ302" s="229" t="s">
        <v>469</v>
      </c>
      <c r="BK302" s="229" t="s">
        <v>469</v>
      </c>
      <c r="BL302" s="229" t="s">
        <v>469</v>
      </c>
      <c r="BM302" s="258">
        <v>1.0</v>
      </c>
      <c r="BN302" s="258">
        <v>3.0</v>
      </c>
      <c r="BO302" s="258">
        <v>0.0</v>
      </c>
      <c r="BP302" s="258">
        <v>0.0</v>
      </c>
      <c r="BQ302" s="229"/>
      <c r="BR302" s="258">
        <v>10.0</v>
      </c>
      <c r="BS302" s="258">
        <v>0.0</v>
      </c>
      <c r="BT302" s="258">
        <v>0.0</v>
      </c>
      <c r="BU302" s="258">
        <v>49.0</v>
      </c>
      <c r="BV302" s="229" t="s">
        <v>469</v>
      </c>
      <c r="BW302" s="229"/>
      <c r="BX302" s="217"/>
      <c r="BY302" s="217"/>
      <c r="BZ302" s="217"/>
      <c r="CA302" s="217"/>
      <c r="CB302" s="217"/>
      <c r="CC302" s="229"/>
      <c r="CD302" s="217"/>
      <c r="CE302" s="217"/>
      <c r="CF302" s="217"/>
      <c r="CG302" s="217"/>
      <c r="CH302" s="217"/>
      <c r="CI302" s="229"/>
      <c r="CJ302" s="217"/>
      <c r="CK302" s="217"/>
      <c r="CL302" s="217"/>
      <c r="CM302" s="217"/>
      <c r="CN302" s="217"/>
      <c r="CO302" s="229"/>
      <c r="CP302" s="217"/>
      <c r="CQ302" s="217"/>
      <c r="CR302" s="217"/>
      <c r="CS302" s="217"/>
      <c r="CT302" s="217"/>
      <c r="CU302" s="229"/>
      <c r="CV302" s="217"/>
      <c r="CW302" s="217"/>
      <c r="CX302" s="217"/>
      <c r="CY302" s="217"/>
      <c r="CZ302" s="217"/>
      <c r="DA302" s="229"/>
      <c r="DB302" s="217"/>
      <c r="DC302" s="217"/>
      <c r="DD302" s="217"/>
      <c r="DE302" s="217"/>
      <c r="DF302" s="217"/>
      <c r="DG302" s="229"/>
      <c r="DH302" s="217"/>
      <c r="DI302" s="217"/>
      <c r="DJ302" s="217"/>
      <c r="DK302" s="217"/>
      <c r="DL302" s="217"/>
      <c r="DM302" s="229"/>
      <c r="DN302" s="217"/>
      <c r="DO302" s="217"/>
      <c r="DP302" s="217"/>
      <c r="DQ302" s="217"/>
      <c r="DR302" s="217"/>
      <c r="DS302" s="229"/>
      <c r="DT302" s="229"/>
      <c r="DU302" s="229"/>
      <c r="DV302" s="217"/>
      <c r="DW302" s="217"/>
      <c r="DX302" s="230"/>
      <c r="DY302" s="231"/>
      <c r="DZ302" s="231"/>
      <c r="EA302" s="230"/>
      <c r="EB302" s="232"/>
      <c r="EC302" s="217"/>
      <c r="ED302" s="233"/>
      <c r="EE302" s="234"/>
      <c r="EF302" s="233"/>
      <c r="EG302" s="235"/>
      <c r="EH302" s="236"/>
      <c r="EI302" s="217"/>
      <c r="EJ302" s="237"/>
      <c r="EK302" s="217"/>
      <c r="EL302" s="217"/>
      <c r="EM302" s="238"/>
      <c r="EN302" s="236"/>
      <c r="EO302" s="239"/>
      <c r="EP302" s="236"/>
      <c r="EQ302" s="217"/>
      <c r="ER302" s="217"/>
      <c r="ES302" s="236"/>
      <c r="ET302" s="236"/>
      <c r="EU302" s="236"/>
      <c r="EV302" s="239"/>
      <c r="EW302" s="236"/>
      <c r="EX302" s="217"/>
      <c r="EY302" s="240"/>
      <c r="EZ302" s="241"/>
      <c r="FA302" s="240"/>
      <c r="FB302" s="241"/>
      <c r="FC302" s="240"/>
      <c r="FD302" s="217"/>
      <c r="FE302" s="240"/>
      <c r="FF302" s="217"/>
      <c r="FG302" s="217"/>
      <c r="FH302" s="217"/>
      <c r="FI302" s="217"/>
      <c r="FJ302" s="217"/>
      <c r="FK302" s="240"/>
      <c r="FL302" s="217"/>
      <c r="FM302" s="240"/>
      <c r="FN302" s="217"/>
      <c r="FO302" s="240"/>
      <c r="FP302" s="217"/>
      <c r="FQ302" s="240"/>
      <c r="FR302" s="217"/>
      <c r="FS302" s="236"/>
      <c r="FT302" s="236"/>
      <c r="FU302" s="236"/>
      <c r="FV302" s="236"/>
      <c r="FW302" s="239"/>
      <c r="FX302" s="236"/>
      <c r="FY302" s="217"/>
      <c r="FZ302" s="240"/>
      <c r="GA302" s="217"/>
      <c r="GB302" s="242"/>
      <c r="GC302" s="217"/>
      <c r="GD302" s="240"/>
      <c r="GE302" s="240"/>
      <c r="GF302" s="240"/>
      <c r="GG302" s="240"/>
      <c r="GH302" s="240"/>
      <c r="GI302" s="217"/>
      <c r="GJ302" s="217"/>
      <c r="GK302" s="239"/>
      <c r="GL302" s="243"/>
    </row>
    <row r="303" ht="15.75" customHeight="1">
      <c r="A303" s="229" t="s">
        <v>681</v>
      </c>
      <c r="B303" s="258">
        <v>1803205.0</v>
      </c>
      <c r="C303" s="259" t="s">
        <v>1768</v>
      </c>
      <c r="D303" s="260">
        <v>43875.524305555555</v>
      </c>
      <c r="E303" s="229" t="s">
        <v>325</v>
      </c>
      <c r="F303" s="261" t="s">
        <v>1769</v>
      </c>
      <c r="G303" s="261" t="s">
        <v>1770</v>
      </c>
      <c r="H303" s="262">
        <v>43874.0</v>
      </c>
      <c r="I303" s="259" t="s">
        <v>1771</v>
      </c>
      <c r="J303" s="259" t="s">
        <v>1768</v>
      </c>
      <c r="K303" s="229" t="s">
        <v>529</v>
      </c>
      <c r="L303" s="229" t="s">
        <v>390</v>
      </c>
      <c r="M303" s="229" t="s">
        <v>31</v>
      </c>
      <c r="N303" s="229" t="s">
        <v>32</v>
      </c>
      <c r="O303" s="229" t="s">
        <v>35</v>
      </c>
      <c r="P303" s="217"/>
      <c r="Q303" s="229" t="s">
        <v>169</v>
      </c>
      <c r="R303" s="263">
        <v>1.75</v>
      </c>
      <c r="S303" s="246"/>
      <c r="T303" s="220"/>
      <c r="U303" s="220"/>
      <c r="V303" s="221"/>
      <c r="W303" s="220"/>
      <c r="X303" s="222"/>
      <c r="Y303" s="222"/>
      <c r="Z303" s="229" t="s">
        <v>36</v>
      </c>
      <c r="AA303" s="229" t="s">
        <v>87</v>
      </c>
      <c r="AB303" s="229" t="s">
        <v>38</v>
      </c>
      <c r="AC303" s="229" t="s">
        <v>469</v>
      </c>
      <c r="AD303" s="229" t="s">
        <v>89</v>
      </c>
      <c r="AE303" s="229" t="s">
        <v>39</v>
      </c>
      <c r="AF303" s="229" t="s">
        <v>469</v>
      </c>
      <c r="AG303" s="264">
        <v>1.0E11</v>
      </c>
      <c r="AH303" s="224" t="str">
        <f t="shared" si="609"/>
        <v>$100B-$250B</v>
      </c>
      <c r="AI303" s="264">
        <v>1.0E7</v>
      </c>
      <c r="AJ303" s="224" t="str">
        <f t="shared" si="610"/>
        <v>&lt; $25M</v>
      </c>
      <c r="AK303" s="237">
        <v>0.08</v>
      </c>
      <c r="AL303" s="258"/>
      <c r="AM303" s="258">
        <v>50.0</v>
      </c>
      <c r="AN303" s="229" t="s">
        <v>89</v>
      </c>
      <c r="AO303" s="229" t="s">
        <v>89</v>
      </c>
      <c r="AP303" s="229" t="s">
        <v>40</v>
      </c>
      <c r="AQ303" s="259" t="s">
        <v>89</v>
      </c>
      <c r="AR303" s="259" t="s">
        <v>39</v>
      </c>
      <c r="AS303" s="229" t="s">
        <v>469</v>
      </c>
      <c r="AT303" s="229" t="s">
        <v>469</v>
      </c>
      <c r="AU303" s="229" t="s">
        <v>469</v>
      </c>
      <c r="AV303" s="229" t="s">
        <v>469</v>
      </c>
      <c r="AW303" s="264">
        <v>0.0</v>
      </c>
      <c r="AX303" s="264"/>
      <c r="AY303" s="264">
        <v>0.0</v>
      </c>
      <c r="AZ303" s="264">
        <v>0.0</v>
      </c>
      <c r="BA303" s="219"/>
      <c r="BB303" s="219">
        <f t="shared" si="611"/>
        <v>1</v>
      </c>
      <c r="BC303" s="229"/>
      <c r="BD303" s="229" t="s">
        <v>41</v>
      </c>
      <c r="BE303" s="217"/>
      <c r="BF303" s="229" t="s">
        <v>469</v>
      </c>
      <c r="BG303" s="258">
        <v>0.0</v>
      </c>
      <c r="BH303" s="258">
        <v>1.0</v>
      </c>
      <c r="BI303" s="229" t="s">
        <v>469</v>
      </c>
      <c r="BJ303" s="229" t="s">
        <v>469</v>
      </c>
      <c r="BK303" s="229" t="s">
        <v>469</v>
      </c>
      <c r="BL303" s="229" t="s">
        <v>469</v>
      </c>
      <c r="BM303" s="258">
        <v>1.0</v>
      </c>
      <c r="BN303" s="258">
        <v>1.0</v>
      </c>
      <c r="BO303" s="258">
        <v>0.0</v>
      </c>
      <c r="BP303" s="258">
        <v>0.0</v>
      </c>
      <c r="BQ303" s="229"/>
      <c r="BR303" s="258">
        <v>5.0</v>
      </c>
      <c r="BS303" s="258">
        <v>0.0</v>
      </c>
      <c r="BT303" s="258">
        <v>0.0</v>
      </c>
      <c r="BU303" s="258">
        <v>42.0</v>
      </c>
      <c r="BV303" s="229" t="s">
        <v>469</v>
      </c>
      <c r="BW303" s="229"/>
      <c r="BX303" s="217"/>
      <c r="BY303" s="217"/>
      <c r="BZ303" s="217"/>
      <c r="CA303" s="217"/>
      <c r="CB303" s="217"/>
      <c r="CC303" s="229"/>
      <c r="CD303" s="217"/>
      <c r="CE303" s="217"/>
      <c r="CF303" s="217"/>
      <c r="CG303" s="217"/>
      <c r="CH303" s="217"/>
      <c r="CI303" s="229"/>
      <c r="CJ303" s="217"/>
      <c r="CK303" s="217"/>
      <c r="CL303" s="217"/>
      <c r="CM303" s="217"/>
      <c r="CN303" s="217"/>
      <c r="CO303" s="229"/>
      <c r="CP303" s="217"/>
      <c r="CQ303" s="217"/>
      <c r="CR303" s="217"/>
      <c r="CS303" s="217"/>
      <c r="CT303" s="217"/>
      <c r="CU303" s="229"/>
      <c r="CV303" s="217"/>
      <c r="CW303" s="217"/>
      <c r="CX303" s="217"/>
      <c r="CY303" s="217"/>
      <c r="CZ303" s="217"/>
      <c r="DA303" s="229"/>
      <c r="DB303" s="217"/>
      <c r="DC303" s="217"/>
      <c r="DD303" s="217"/>
      <c r="DE303" s="217"/>
      <c r="DF303" s="217"/>
      <c r="DG303" s="229"/>
      <c r="DH303" s="217"/>
      <c r="DI303" s="217"/>
      <c r="DJ303" s="217"/>
      <c r="DK303" s="217"/>
      <c r="DL303" s="217"/>
      <c r="DM303" s="229"/>
      <c r="DN303" s="217"/>
      <c r="DO303" s="217"/>
      <c r="DP303" s="217"/>
      <c r="DQ303" s="217"/>
      <c r="DR303" s="217"/>
      <c r="DS303" s="229"/>
      <c r="DT303" s="229"/>
      <c r="DU303" s="229"/>
      <c r="DV303" s="217"/>
      <c r="DW303" s="217"/>
      <c r="DX303" s="230"/>
      <c r="DY303" s="231"/>
      <c r="DZ303" s="231"/>
      <c r="EA303" s="230"/>
      <c r="EB303" s="232"/>
      <c r="EC303" s="217"/>
      <c r="ED303" s="233"/>
      <c r="EE303" s="234"/>
      <c r="EF303" s="233"/>
      <c r="EG303" s="235"/>
      <c r="EH303" s="236"/>
      <c r="EI303" s="217"/>
      <c r="EJ303" s="237"/>
      <c r="EK303" s="217"/>
      <c r="EL303" s="217"/>
      <c r="EM303" s="238"/>
      <c r="EN303" s="236"/>
      <c r="EO303" s="239"/>
      <c r="EP303" s="236"/>
      <c r="EQ303" s="217"/>
      <c r="ER303" s="217"/>
      <c r="ES303" s="236"/>
      <c r="ET303" s="236"/>
      <c r="EU303" s="236"/>
      <c r="EV303" s="239"/>
      <c r="EW303" s="236"/>
      <c r="EX303" s="217"/>
      <c r="EY303" s="240"/>
      <c r="EZ303" s="241"/>
      <c r="FA303" s="240"/>
      <c r="FB303" s="241"/>
      <c r="FC303" s="240"/>
      <c r="FD303" s="217"/>
      <c r="FE303" s="240"/>
      <c r="FF303" s="217"/>
      <c r="FG303" s="217"/>
      <c r="FH303" s="217"/>
      <c r="FI303" s="217"/>
      <c r="FJ303" s="217"/>
      <c r="FK303" s="240"/>
      <c r="FL303" s="217"/>
      <c r="FM303" s="240"/>
      <c r="FN303" s="217"/>
      <c r="FO303" s="240"/>
      <c r="FP303" s="217"/>
      <c r="FQ303" s="240"/>
      <c r="FR303" s="217"/>
      <c r="FS303" s="236"/>
      <c r="FT303" s="236"/>
      <c r="FU303" s="236"/>
      <c r="FV303" s="236"/>
      <c r="FW303" s="239"/>
      <c r="FX303" s="236"/>
      <c r="FY303" s="217"/>
      <c r="FZ303" s="240"/>
      <c r="GA303" s="217"/>
      <c r="GB303" s="242"/>
      <c r="GC303" s="217"/>
      <c r="GD303" s="240"/>
      <c r="GE303" s="240"/>
      <c r="GF303" s="240"/>
      <c r="GG303" s="240"/>
      <c r="GH303" s="240"/>
      <c r="GI303" s="217"/>
      <c r="GJ303" s="217"/>
      <c r="GK303" s="239"/>
      <c r="GL303" s="243"/>
    </row>
    <row r="304" ht="15.75" customHeight="1">
      <c r="A304" s="229" t="s">
        <v>681</v>
      </c>
      <c r="B304" s="258">
        <v>1790424.0</v>
      </c>
      <c r="C304" s="259" t="s">
        <v>1772</v>
      </c>
      <c r="D304" s="260">
        <v>43879.46319444444</v>
      </c>
      <c r="E304" s="229" t="s">
        <v>198</v>
      </c>
      <c r="F304" s="261" t="s">
        <v>1773</v>
      </c>
      <c r="G304" s="261" t="s">
        <v>1774</v>
      </c>
      <c r="H304" s="262">
        <v>43893.0</v>
      </c>
      <c r="I304" s="259" t="s">
        <v>1775</v>
      </c>
      <c r="J304" s="259" t="s">
        <v>1775</v>
      </c>
      <c r="K304" s="229" t="s">
        <v>354</v>
      </c>
      <c r="L304" s="229" t="s">
        <v>390</v>
      </c>
      <c r="M304" s="229" t="s">
        <v>31</v>
      </c>
      <c r="N304" s="229" t="s">
        <v>82</v>
      </c>
      <c r="O304" s="229" t="s">
        <v>35</v>
      </c>
      <c r="P304" s="217"/>
      <c r="Q304" s="229" t="s">
        <v>169</v>
      </c>
      <c r="R304" s="263">
        <v>3.0</v>
      </c>
      <c r="S304" s="246"/>
      <c r="T304" s="220"/>
      <c r="U304" s="220"/>
      <c r="V304" s="221"/>
      <c r="W304" s="220"/>
      <c r="X304" s="222"/>
      <c r="Y304" s="222"/>
      <c r="Z304" s="229" t="s">
        <v>36</v>
      </c>
      <c r="AA304" s="229" t="s">
        <v>37</v>
      </c>
      <c r="AB304" s="229" t="s">
        <v>38</v>
      </c>
      <c r="AC304" s="229" t="s">
        <v>493</v>
      </c>
      <c r="AD304" s="229" t="s">
        <v>89</v>
      </c>
      <c r="AE304" s="229" t="s">
        <v>89</v>
      </c>
      <c r="AF304" s="229" t="s">
        <v>469</v>
      </c>
      <c r="AG304" s="264">
        <v>4.0E9</v>
      </c>
      <c r="AH304" s="224" t="str">
        <f t="shared" si="609"/>
        <v>$1B-$5B</v>
      </c>
      <c r="AI304" s="264">
        <v>5.0E7</v>
      </c>
      <c r="AJ304" s="224" t="str">
        <f t="shared" si="610"/>
        <v>$50M-$100M</v>
      </c>
      <c r="AK304" s="237">
        <v>0.5</v>
      </c>
      <c r="AL304" s="258"/>
      <c r="AM304" s="258">
        <v>100.0</v>
      </c>
      <c r="AN304" s="229" t="s">
        <v>89</v>
      </c>
      <c r="AO304" s="229" t="s">
        <v>89</v>
      </c>
      <c r="AP304" s="229" t="s">
        <v>40</v>
      </c>
      <c r="AQ304" s="259" t="s">
        <v>89</v>
      </c>
      <c r="AR304" s="259" t="s">
        <v>39</v>
      </c>
      <c r="AS304" s="229" t="s">
        <v>469</v>
      </c>
      <c r="AT304" s="229" t="s">
        <v>469</v>
      </c>
      <c r="AU304" s="229" t="s">
        <v>493</v>
      </c>
      <c r="AV304" s="229" t="s">
        <v>493</v>
      </c>
      <c r="AW304" s="264">
        <v>121205.0</v>
      </c>
      <c r="AX304" s="264"/>
      <c r="AY304" s="264">
        <v>0.0</v>
      </c>
      <c r="AZ304" s="264">
        <v>0.0</v>
      </c>
      <c r="BA304" s="219"/>
      <c r="BB304" s="219">
        <f t="shared" si="611"/>
        <v>1</v>
      </c>
      <c r="BC304" s="229"/>
      <c r="BD304" s="229" t="s">
        <v>124</v>
      </c>
      <c r="BE304" s="217"/>
      <c r="BF304" s="229" t="s">
        <v>469</v>
      </c>
      <c r="BG304" s="258">
        <v>0.0</v>
      </c>
      <c r="BH304" s="258">
        <v>3.0</v>
      </c>
      <c r="BI304" s="229" t="s">
        <v>469</v>
      </c>
      <c r="BJ304" s="229" t="s">
        <v>469</v>
      </c>
      <c r="BK304" s="229" t="s">
        <v>469</v>
      </c>
      <c r="BL304" s="229" t="s">
        <v>469</v>
      </c>
      <c r="BM304" s="258">
        <v>1.0</v>
      </c>
      <c r="BN304" s="258">
        <v>1.0</v>
      </c>
      <c r="BO304" s="258">
        <v>0.0</v>
      </c>
      <c r="BP304" s="258">
        <v>0.0</v>
      </c>
      <c r="BQ304" s="229"/>
      <c r="BR304" s="258">
        <v>5.0</v>
      </c>
      <c r="BS304" s="258">
        <v>0.0</v>
      </c>
      <c r="BT304" s="258">
        <v>0.0</v>
      </c>
      <c r="BU304" s="248">
        <v>50.0</v>
      </c>
      <c r="BV304" s="247" t="s">
        <v>469</v>
      </c>
      <c r="BW304" s="229"/>
      <c r="BX304" s="217"/>
      <c r="BY304" s="217"/>
      <c r="BZ304" s="217"/>
      <c r="CA304" s="217"/>
      <c r="CB304" s="217"/>
      <c r="CC304" s="229"/>
      <c r="CD304" s="217"/>
      <c r="CE304" s="217"/>
      <c r="CF304" s="217"/>
      <c r="CG304" s="217"/>
      <c r="CH304" s="217"/>
      <c r="CI304" s="229"/>
      <c r="CJ304" s="217"/>
      <c r="CK304" s="217"/>
      <c r="CL304" s="217"/>
      <c r="CM304" s="217"/>
      <c r="CN304" s="217"/>
      <c r="CO304" s="229"/>
      <c r="CP304" s="217"/>
      <c r="CQ304" s="217"/>
      <c r="CR304" s="217"/>
      <c r="CS304" s="217"/>
      <c r="CT304" s="217"/>
      <c r="CU304" s="229"/>
      <c r="CV304" s="217"/>
      <c r="CW304" s="217"/>
      <c r="CX304" s="217"/>
      <c r="CY304" s="217"/>
      <c r="CZ304" s="217"/>
      <c r="DA304" s="229"/>
      <c r="DB304" s="217"/>
      <c r="DC304" s="217"/>
      <c r="DD304" s="217"/>
      <c r="DE304" s="217"/>
      <c r="DF304" s="217"/>
      <c r="DG304" s="229"/>
      <c r="DH304" s="217"/>
      <c r="DI304" s="217"/>
      <c r="DJ304" s="217"/>
      <c r="DK304" s="217"/>
      <c r="DL304" s="217"/>
      <c r="DM304" s="229"/>
      <c r="DN304" s="217"/>
      <c r="DO304" s="217"/>
      <c r="DP304" s="217"/>
      <c r="DQ304" s="217"/>
      <c r="DR304" s="217"/>
      <c r="DS304" s="229"/>
      <c r="DT304" s="229"/>
      <c r="DU304" s="229"/>
      <c r="DV304" s="217"/>
      <c r="DW304" s="217"/>
      <c r="DX304" s="230"/>
      <c r="DY304" s="231"/>
      <c r="DZ304" s="231"/>
      <c r="EA304" s="230"/>
      <c r="EB304" s="232"/>
      <c r="EC304" s="217"/>
      <c r="ED304" s="233"/>
      <c r="EE304" s="234"/>
      <c r="EF304" s="233"/>
      <c r="EG304" s="235"/>
      <c r="EH304" s="236"/>
      <c r="EI304" s="217"/>
      <c r="EJ304" s="237"/>
      <c r="EK304" s="217"/>
      <c r="EL304" s="217"/>
      <c r="EM304" s="238"/>
      <c r="EN304" s="236"/>
      <c r="EO304" s="239"/>
      <c r="EP304" s="236"/>
      <c r="EQ304" s="217"/>
      <c r="ER304" s="217"/>
      <c r="ES304" s="236"/>
      <c r="ET304" s="236"/>
      <c r="EU304" s="236"/>
      <c r="EV304" s="239"/>
      <c r="EW304" s="236"/>
      <c r="EX304" s="217"/>
      <c r="EY304" s="240"/>
      <c r="EZ304" s="241"/>
      <c r="FA304" s="240"/>
      <c r="FB304" s="241"/>
      <c r="FC304" s="240"/>
      <c r="FD304" s="217"/>
      <c r="FE304" s="240"/>
      <c r="FF304" s="217"/>
      <c r="FG304" s="217"/>
      <c r="FH304" s="217"/>
      <c r="FI304" s="217"/>
      <c r="FJ304" s="217"/>
      <c r="FK304" s="240"/>
      <c r="FL304" s="217"/>
      <c r="FM304" s="240"/>
      <c r="FN304" s="217"/>
      <c r="FO304" s="240"/>
      <c r="FP304" s="217"/>
      <c r="FQ304" s="240"/>
      <c r="FR304" s="217"/>
      <c r="FS304" s="236"/>
      <c r="FT304" s="236"/>
      <c r="FU304" s="236"/>
      <c r="FV304" s="236"/>
      <c r="FW304" s="239"/>
      <c r="FX304" s="236"/>
      <c r="FY304" s="217"/>
      <c r="FZ304" s="240"/>
      <c r="GA304" s="217"/>
      <c r="GB304" s="242"/>
      <c r="GC304" s="217"/>
      <c r="GD304" s="240"/>
      <c r="GE304" s="240"/>
      <c r="GF304" s="240"/>
      <c r="GG304" s="240"/>
      <c r="GH304" s="240"/>
      <c r="GI304" s="217"/>
      <c r="GJ304" s="217"/>
      <c r="GK304" s="239"/>
      <c r="GL304" s="243"/>
    </row>
    <row r="305" ht="15.75" customHeight="1">
      <c r="A305" s="229" t="s">
        <v>681</v>
      </c>
      <c r="B305" s="258">
        <v>1802932.0</v>
      </c>
      <c r="C305" s="259" t="s">
        <v>1776</v>
      </c>
      <c r="D305" s="260">
        <v>43879.49166666667</v>
      </c>
      <c r="E305" s="229" t="s">
        <v>325</v>
      </c>
      <c r="F305" s="261" t="s">
        <v>1777</v>
      </c>
      <c r="G305" s="261" t="s">
        <v>1778</v>
      </c>
      <c r="H305" s="262">
        <v>43873.0</v>
      </c>
      <c r="I305" s="259" t="s">
        <v>1779</v>
      </c>
      <c r="J305" s="259" t="s">
        <v>1776</v>
      </c>
      <c r="K305" s="229" t="s">
        <v>529</v>
      </c>
      <c r="L305" s="229" t="s">
        <v>390</v>
      </c>
      <c r="M305" s="229" t="s">
        <v>31</v>
      </c>
      <c r="N305" s="229" t="s">
        <v>32</v>
      </c>
      <c r="O305" s="229" t="s">
        <v>35</v>
      </c>
      <c r="P305" s="217"/>
      <c r="Q305" s="229" t="s">
        <v>169</v>
      </c>
      <c r="R305" s="263">
        <v>1.5</v>
      </c>
      <c r="S305" s="246"/>
      <c r="T305" s="220"/>
      <c r="U305" s="220"/>
      <c r="V305" s="221"/>
      <c r="W305" s="220"/>
      <c r="X305" s="222"/>
      <c r="Y305" s="222"/>
      <c r="Z305" s="229" t="s">
        <v>36</v>
      </c>
      <c r="AA305" s="229" t="s">
        <v>87</v>
      </c>
      <c r="AB305" s="229" t="s">
        <v>38</v>
      </c>
      <c r="AC305" s="229" t="s">
        <v>469</v>
      </c>
      <c r="AD305" s="229" t="s">
        <v>89</v>
      </c>
      <c r="AE305" s="229" t="s">
        <v>39</v>
      </c>
      <c r="AF305" s="229" t="s">
        <v>469</v>
      </c>
      <c r="AG305" s="264">
        <v>5.5E10</v>
      </c>
      <c r="AH305" s="224" t="str">
        <f t="shared" si="609"/>
        <v>$50B-$100B</v>
      </c>
      <c r="AI305" s="264">
        <v>5.0E7</v>
      </c>
      <c r="AJ305" s="224" t="str">
        <f t="shared" si="610"/>
        <v>$50M-$100M</v>
      </c>
      <c r="AK305" s="237">
        <v>0.08</v>
      </c>
      <c r="AL305" s="258"/>
      <c r="AM305" s="258">
        <v>5.0</v>
      </c>
      <c r="AN305" s="229" t="s">
        <v>89</v>
      </c>
      <c r="AO305" s="229" t="s">
        <v>89</v>
      </c>
      <c r="AP305" s="229" t="s">
        <v>40</v>
      </c>
      <c r="AQ305" s="259" t="s">
        <v>89</v>
      </c>
      <c r="AR305" s="259" t="s">
        <v>39</v>
      </c>
      <c r="AS305" s="229" t="s">
        <v>469</v>
      </c>
      <c r="AT305" s="229" t="s">
        <v>469</v>
      </c>
      <c r="AU305" s="229" t="s">
        <v>469</v>
      </c>
      <c r="AV305" s="229" t="s">
        <v>469</v>
      </c>
      <c r="AW305" s="264">
        <v>0.0</v>
      </c>
      <c r="AX305" s="264"/>
      <c r="AY305" s="264">
        <v>0.0</v>
      </c>
      <c r="AZ305" s="264">
        <v>0.0</v>
      </c>
      <c r="BA305" s="219"/>
      <c r="BB305" s="219">
        <f t="shared" si="611"/>
        <v>1</v>
      </c>
      <c r="BC305" s="229"/>
      <c r="BD305" s="229" t="s">
        <v>41</v>
      </c>
      <c r="BE305" s="217"/>
      <c r="BF305" s="229" t="s">
        <v>469</v>
      </c>
      <c r="BG305" s="258">
        <v>0.0</v>
      </c>
      <c r="BH305" s="258">
        <v>1.0</v>
      </c>
      <c r="BI305" s="229" t="s">
        <v>469</v>
      </c>
      <c r="BJ305" s="229" t="s">
        <v>493</v>
      </c>
      <c r="BK305" s="229" t="s">
        <v>469</v>
      </c>
      <c r="BL305" s="229" t="s">
        <v>469</v>
      </c>
      <c r="BM305" s="258">
        <v>2.0</v>
      </c>
      <c r="BN305" s="258">
        <v>2.0</v>
      </c>
      <c r="BO305" s="258">
        <v>0.0</v>
      </c>
      <c r="BP305" s="258">
        <v>0.0</v>
      </c>
      <c r="BQ305" s="229"/>
      <c r="BR305" s="258">
        <v>5.0</v>
      </c>
      <c r="BS305" s="258">
        <v>0.0</v>
      </c>
      <c r="BT305" s="258">
        <v>0.0</v>
      </c>
      <c r="BU305" s="248">
        <v>36.0</v>
      </c>
      <c r="BV305" s="247" t="s">
        <v>469</v>
      </c>
      <c r="BW305" s="229"/>
      <c r="BX305" s="217"/>
      <c r="BY305" s="217"/>
      <c r="BZ305" s="217"/>
      <c r="CA305" s="217"/>
      <c r="CB305" s="217"/>
      <c r="CC305" s="229"/>
      <c r="CD305" s="217"/>
      <c r="CE305" s="217"/>
      <c r="CF305" s="217"/>
      <c r="CG305" s="217"/>
      <c r="CH305" s="217"/>
      <c r="CI305" s="229"/>
      <c r="CJ305" s="217"/>
      <c r="CK305" s="217"/>
      <c r="CL305" s="217"/>
      <c r="CM305" s="217"/>
      <c r="CN305" s="217"/>
      <c r="CO305" s="229"/>
      <c r="CP305" s="217"/>
      <c r="CQ305" s="217"/>
      <c r="CR305" s="217"/>
      <c r="CS305" s="217"/>
      <c r="CT305" s="217"/>
      <c r="CU305" s="229"/>
      <c r="CV305" s="217"/>
      <c r="CW305" s="217"/>
      <c r="CX305" s="217"/>
      <c r="CY305" s="217"/>
      <c r="CZ305" s="217"/>
      <c r="DA305" s="229"/>
      <c r="DB305" s="217"/>
      <c r="DC305" s="217"/>
      <c r="DD305" s="217"/>
      <c r="DE305" s="217"/>
      <c r="DF305" s="217"/>
      <c r="DG305" s="229"/>
      <c r="DH305" s="217"/>
      <c r="DI305" s="217"/>
      <c r="DJ305" s="217"/>
      <c r="DK305" s="217"/>
      <c r="DL305" s="217"/>
      <c r="DM305" s="229"/>
      <c r="DN305" s="217"/>
      <c r="DO305" s="217"/>
      <c r="DP305" s="217"/>
      <c r="DQ305" s="217"/>
      <c r="DR305" s="217"/>
      <c r="DS305" s="229"/>
      <c r="DT305" s="229"/>
      <c r="DU305" s="229"/>
      <c r="DV305" s="217"/>
      <c r="DW305" s="217"/>
      <c r="DX305" s="230"/>
      <c r="DY305" s="231"/>
      <c r="DZ305" s="231"/>
      <c r="EA305" s="230"/>
      <c r="EB305" s="232"/>
      <c r="EC305" s="217"/>
      <c r="ED305" s="233"/>
      <c r="EE305" s="234"/>
      <c r="EF305" s="233"/>
      <c r="EG305" s="235"/>
      <c r="EH305" s="236"/>
      <c r="EI305" s="217"/>
      <c r="EJ305" s="237"/>
      <c r="EK305" s="217"/>
      <c r="EL305" s="217"/>
      <c r="EM305" s="238"/>
      <c r="EN305" s="236"/>
      <c r="EO305" s="239"/>
      <c r="EP305" s="236"/>
      <c r="EQ305" s="217"/>
      <c r="ER305" s="217"/>
      <c r="ES305" s="236"/>
      <c r="ET305" s="236"/>
      <c r="EU305" s="236"/>
      <c r="EV305" s="239"/>
      <c r="EW305" s="236"/>
      <c r="EX305" s="217"/>
      <c r="EY305" s="240"/>
      <c r="EZ305" s="241"/>
      <c r="FA305" s="240"/>
      <c r="FB305" s="241"/>
      <c r="FC305" s="240"/>
      <c r="FD305" s="217"/>
      <c r="FE305" s="240"/>
      <c r="FF305" s="217"/>
      <c r="FG305" s="217"/>
      <c r="FH305" s="217"/>
      <c r="FI305" s="217"/>
      <c r="FJ305" s="217"/>
      <c r="FK305" s="240"/>
      <c r="FL305" s="217"/>
      <c r="FM305" s="240"/>
      <c r="FN305" s="217"/>
      <c r="FO305" s="240"/>
      <c r="FP305" s="217"/>
      <c r="FQ305" s="240"/>
      <c r="FR305" s="217"/>
      <c r="FS305" s="236"/>
      <c r="FT305" s="236"/>
      <c r="FU305" s="236"/>
      <c r="FV305" s="236"/>
      <c r="FW305" s="239"/>
      <c r="FX305" s="236"/>
      <c r="FY305" s="217"/>
      <c r="FZ305" s="240"/>
      <c r="GA305" s="217"/>
      <c r="GB305" s="242"/>
      <c r="GC305" s="217"/>
      <c r="GD305" s="240"/>
      <c r="GE305" s="240"/>
      <c r="GF305" s="240"/>
      <c r="GG305" s="240"/>
      <c r="GH305" s="240"/>
      <c r="GI305" s="217"/>
      <c r="GJ305" s="217"/>
      <c r="GK305" s="239"/>
      <c r="GL305" s="243"/>
    </row>
    <row r="306" ht="15.75" customHeight="1">
      <c r="A306" s="229" t="s">
        <v>1128</v>
      </c>
      <c r="B306" s="258">
        <v>1788674.0</v>
      </c>
      <c r="C306" s="259" t="s">
        <v>1780</v>
      </c>
      <c r="D306" s="260">
        <v>43770.49652777778</v>
      </c>
      <c r="E306" s="229" t="s">
        <v>392</v>
      </c>
      <c r="F306" s="261" t="s">
        <v>1781</v>
      </c>
      <c r="G306" s="261" t="s">
        <v>1782</v>
      </c>
      <c r="H306" s="262">
        <v>43836.0</v>
      </c>
      <c r="I306" s="259" t="s">
        <v>1780</v>
      </c>
      <c r="J306" s="259" t="s">
        <v>1783</v>
      </c>
      <c r="K306" s="229" t="s">
        <v>549</v>
      </c>
      <c r="L306" s="229" t="s">
        <v>390</v>
      </c>
      <c r="M306" s="229" t="s">
        <v>31</v>
      </c>
      <c r="N306" s="229" t="s">
        <v>82</v>
      </c>
      <c r="O306" s="229" t="s">
        <v>35</v>
      </c>
      <c r="P306" s="217"/>
      <c r="Q306" s="229" t="s">
        <v>169</v>
      </c>
      <c r="R306" s="263">
        <v>2.25</v>
      </c>
      <c r="S306" s="246"/>
      <c r="T306" s="220"/>
      <c r="U306" s="220"/>
      <c r="V306" s="221"/>
      <c r="W306" s="220"/>
      <c r="X306" s="222"/>
      <c r="Y306" s="222"/>
      <c r="Z306" s="229" t="s">
        <v>36</v>
      </c>
      <c r="AA306" s="229" t="s">
        <v>87</v>
      </c>
      <c r="AB306" s="229" t="s">
        <v>38</v>
      </c>
      <c r="AC306" s="229" t="s">
        <v>493</v>
      </c>
      <c r="AD306" s="229" t="s">
        <v>89</v>
      </c>
      <c r="AE306" s="229" t="s">
        <v>89</v>
      </c>
      <c r="AF306" s="229" t="s">
        <v>469</v>
      </c>
      <c r="AG306" s="264">
        <v>1.142E11</v>
      </c>
      <c r="AH306" s="224" t="str">
        <f t="shared" si="609"/>
        <v>$100B-$250B</v>
      </c>
      <c r="AI306" s="264">
        <v>2.76E10</v>
      </c>
      <c r="AJ306" s="224" t="str">
        <f t="shared" si="610"/>
        <v>$25B-$50B</v>
      </c>
      <c r="AK306" s="237">
        <v>0.04</v>
      </c>
      <c r="AL306" s="258"/>
      <c r="AM306" s="258">
        <v>7450.0</v>
      </c>
      <c r="AN306" s="229" t="s">
        <v>89</v>
      </c>
      <c r="AO306" s="229" t="s">
        <v>89</v>
      </c>
      <c r="AP306" s="229" t="s">
        <v>40</v>
      </c>
      <c r="AQ306" s="259"/>
      <c r="AR306" s="259"/>
      <c r="AS306" s="229" t="s">
        <v>469</v>
      </c>
      <c r="AT306" s="229" t="s">
        <v>469</v>
      </c>
      <c r="AU306" s="229" t="s">
        <v>493</v>
      </c>
      <c r="AV306" s="229" t="s">
        <v>493</v>
      </c>
      <c r="AW306" s="264">
        <v>36792.0</v>
      </c>
      <c r="AX306" s="264"/>
      <c r="AY306" s="264">
        <v>5302.0</v>
      </c>
      <c r="AZ306" s="264">
        <v>484471.0</v>
      </c>
      <c r="BA306" s="219"/>
      <c r="BB306" s="219">
        <f t="shared" si="611"/>
        <v>0.01094389551</v>
      </c>
      <c r="BC306" s="229"/>
      <c r="BD306" s="229" t="s">
        <v>107</v>
      </c>
      <c r="BE306" s="217"/>
      <c r="BF306" s="229" t="s">
        <v>469</v>
      </c>
      <c r="BG306" s="258">
        <v>0.0</v>
      </c>
      <c r="BH306" s="258">
        <v>1.0</v>
      </c>
      <c r="BI306" s="229" t="s">
        <v>493</v>
      </c>
      <c r="BJ306" s="229" t="s">
        <v>469</v>
      </c>
      <c r="BK306" s="229" t="s">
        <v>469</v>
      </c>
      <c r="BL306" s="229" t="s">
        <v>469</v>
      </c>
      <c r="BM306" s="258">
        <v>1.0</v>
      </c>
      <c r="BN306" s="258">
        <v>3.0</v>
      </c>
      <c r="BO306" s="258">
        <v>0.0</v>
      </c>
      <c r="BP306" s="258">
        <v>0.0</v>
      </c>
      <c r="BQ306" s="229"/>
      <c r="BR306" s="258">
        <v>3.0</v>
      </c>
      <c r="BS306" s="258">
        <v>1.0</v>
      </c>
      <c r="BT306" s="258">
        <v>0.0</v>
      </c>
      <c r="BU306" s="258">
        <v>37.0</v>
      </c>
      <c r="BV306" s="229" t="s">
        <v>469</v>
      </c>
      <c r="BW306" s="229"/>
      <c r="BX306" s="217"/>
      <c r="BY306" s="217"/>
      <c r="BZ306" s="217"/>
      <c r="CA306" s="217"/>
      <c r="CB306" s="217"/>
      <c r="CC306" s="229"/>
      <c r="CD306" s="217"/>
      <c r="CE306" s="217"/>
      <c r="CF306" s="217"/>
      <c r="CG306" s="217"/>
      <c r="CH306" s="217"/>
      <c r="CI306" s="229"/>
      <c r="CJ306" s="217"/>
      <c r="CK306" s="217"/>
      <c r="CL306" s="217"/>
      <c r="CM306" s="217"/>
      <c r="CN306" s="217"/>
      <c r="CO306" s="229"/>
      <c r="CP306" s="217"/>
      <c r="CQ306" s="217"/>
      <c r="CR306" s="217"/>
      <c r="CS306" s="217"/>
      <c r="CT306" s="217"/>
      <c r="CU306" s="229"/>
      <c r="CV306" s="217"/>
      <c r="CW306" s="217"/>
      <c r="CX306" s="217"/>
      <c r="CY306" s="217"/>
      <c r="CZ306" s="217"/>
      <c r="DA306" s="229"/>
      <c r="DB306" s="217"/>
      <c r="DC306" s="217"/>
      <c r="DD306" s="217"/>
      <c r="DE306" s="217"/>
      <c r="DF306" s="217"/>
      <c r="DG306" s="229"/>
      <c r="DH306" s="217"/>
      <c r="DI306" s="217"/>
      <c r="DJ306" s="217"/>
      <c r="DK306" s="217"/>
      <c r="DL306" s="217"/>
      <c r="DM306" s="229"/>
      <c r="DN306" s="217"/>
      <c r="DO306" s="217"/>
      <c r="DP306" s="217"/>
      <c r="DQ306" s="217"/>
      <c r="DR306" s="217"/>
      <c r="DS306" s="229"/>
      <c r="DT306" s="229"/>
      <c r="DU306" s="229"/>
      <c r="DV306" s="217"/>
      <c r="DW306" s="217"/>
      <c r="DX306" s="230"/>
      <c r="DY306" s="231"/>
      <c r="DZ306" s="231"/>
      <c r="EA306" s="230"/>
      <c r="EB306" s="232"/>
      <c r="EC306" s="217"/>
      <c r="ED306" s="233"/>
      <c r="EE306" s="234"/>
      <c r="EF306" s="233"/>
      <c r="EG306" s="235"/>
      <c r="EH306" s="236"/>
      <c r="EI306" s="217"/>
      <c r="EJ306" s="237"/>
      <c r="EK306" s="217"/>
      <c r="EL306" s="217"/>
      <c r="EM306" s="238"/>
      <c r="EN306" s="236"/>
      <c r="EO306" s="239"/>
      <c r="EP306" s="236"/>
      <c r="EQ306" s="217"/>
      <c r="ER306" s="217"/>
      <c r="ES306" s="236"/>
      <c r="ET306" s="236"/>
      <c r="EU306" s="236"/>
      <c r="EV306" s="239"/>
      <c r="EW306" s="236"/>
      <c r="EX306" s="217"/>
      <c r="EY306" s="240"/>
      <c r="EZ306" s="241"/>
      <c r="FA306" s="240"/>
      <c r="FB306" s="241"/>
      <c r="FC306" s="240"/>
      <c r="FD306" s="217"/>
      <c r="FE306" s="240"/>
      <c r="FF306" s="217"/>
      <c r="FG306" s="217"/>
      <c r="FH306" s="217"/>
      <c r="FI306" s="217"/>
      <c r="FJ306" s="217"/>
      <c r="FK306" s="240"/>
      <c r="FL306" s="217"/>
      <c r="FM306" s="240"/>
      <c r="FN306" s="217"/>
      <c r="FO306" s="240"/>
      <c r="FP306" s="217"/>
      <c r="FQ306" s="240"/>
      <c r="FR306" s="217"/>
      <c r="FS306" s="236"/>
      <c r="FT306" s="236"/>
      <c r="FU306" s="236"/>
      <c r="FV306" s="236"/>
      <c r="FW306" s="239"/>
      <c r="FX306" s="236"/>
      <c r="FY306" s="217"/>
      <c r="FZ306" s="240"/>
      <c r="GA306" s="217"/>
      <c r="GB306" s="242"/>
      <c r="GC306" s="217"/>
      <c r="GD306" s="240"/>
      <c r="GE306" s="240"/>
      <c r="GF306" s="240"/>
      <c r="GG306" s="240"/>
      <c r="GH306" s="240"/>
      <c r="GI306" s="217"/>
      <c r="GJ306" s="217"/>
      <c r="GK306" s="239"/>
      <c r="GL306" s="243"/>
    </row>
    <row r="307" ht="15.75" customHeight="1">
      <c r="A307" s="229" t="s">
        <v>1128</v>
      </c>
      <c r="B307" s="258">
        <v>1794037.0</v>
      </c>
      <c r="C307" s="259" t="s">
        <v>1784</v>
      </c>
      <c r="D307" s="260">
        <v>43788.461805555555</v>
      </c>
      <c r="E307" s="229" t="s">
        <v>230</v>
      </c>
      <c r="F307" s="261" t="s">
        <v>1785</v>
      </c>
      <c r="G307" s="261" t="s">
        <v>1786</v>
      </c>
      <c r="H307" s="262">
        <v>43796.0</v>
      </c>
      <c r="I307" s="259" t="s">
        <v>1787</v>
      </c>
      <c r="J307" s="259" t="s">
        <v>1788</v>
      </c>
      <c r="K307" s="229" t="s">
        <v>354</v>
      </c>
      <c r="L307" s="229" t="s">
        <v>390</v>
      </c>
      <c r="M307" s="229" t="s">
        <v>31</v>
      </c>
      <c r="N307" s="229" t="s">
        <v>32</v>
      </c>
      <c r="O307" s="229" t="s">
        <v>35</v>
      </c>
      <c r="P307" s="217"/>
      <c r="Q307" s="229" t="s">
        <v>169</v>
      </c>
      <c r="R307" s="263">
        <v>1.75</v>
      </c>
      <c r="S307" s="246"/>
      <c r="T307" s="220"/>
      <c r="U307" s="220"/>
      <c r="V307" s="221"/>
      <c r="W307" s="220"/>
      <c r="X307" s="222"/>
      <c r="Y307" s="222"/>
      <c r="Z307" s="229" t="s">
        <v>36</v>
      </c>
      <c r="AA307" s="229" t="s">
        <v>123</v>
      </c>
      <c r="AB307" s="229" t="s">
        <v>38</v>
      </c>
      <c r="AC307" s="229" t="s">
        <v>493</v>
      </c>
      <c r="AD307" s="229" t="s">
        <v>89</v>
      </c>
      <c r="AE307" s="229" t="s">
        <v>89</v>
      </c>
      <c r="AF307" s="229" t="s">
        <v>469</v>
      </c>
      <c r="AG307" s="264">
        <v>2.0E11</v>
      </c>
      <c r="AH307" s="224" t="str">
        <f t="shared" si="609"/>
        <v>$100B-$250B</v>
      </c>
      <c r="AI307" s="264">
        <v>1.02E10</v>
      </c>
      <c r="AJ307" s="224" t="str">
        <f t="shared" si="610"/>
        <v>$10B-$25B</v>
      </c>
      <c r="AK307" s="237">
        <v>0.19</v>
      </c>
      <c r="AL307" s="258"/>
      <c r="AM307" s="258">
        <v>16.0</v>
      </c>
      <c r="AN307" s="229" t="s">
        <v>89</v>
      </c>
      <c r="AO307" s="229" t="s">
        <v>89</v>
      </c>
      <c r="AP307" s="229" t="s">
        <v>40</v>
      </c>
      <c r="AQ307" s="259"/>
      <c r="AR307" s="259"/>
      <c r="AS307" s="229" t="s">
        <v>469</v>
      </c>
      <c r="AT307" s="229" t="s">
        <v>469</v>
      </c>
      <c r="AU307" s="229" t="s">
        <v>493</v>
      </c>
      <c r="AV307" s="229" t="s">
        <v>493</v>
      </c>
      <c r="AW307" s="264">
        <v>3138.0</v>
      </c>
      <c r="AX307" s="264"/>
      <c r="AY307" s="264">
        <v>1387.0</v>
      </c>
      <c r="AZ307" s="264">
        <v>0.0</v>
      </c>
      <c r="BA307" s="219"/>
      <c r="BB307" s="219">
        <f t="shared" si="611"/>
        <v>1</v>
      </c>
      <c r="BC307" s="229"/>
      <c r="BD307" s="229" t="s">
        <v>107</v>
      </c>
      <c r="BE307" s="217"/>
      <c r="BF307" s="229" t="s">
        <v>469</v>
      </c>
      <c r="BG307" s="258">
        <v>0.0</v>
      </c>
      <c r="BH307" s="258">
        <v>3.0</v>
      </c>
      <c r="BI307" s="229" t="s">
        <v>493</v>
      </c>
      <c r="BJ307" s="229" t="s">
        <v>469</v>
      </c>
      <c r="BK307" s="229" t="s">
        <v>469</v>
      </c>
      <c r="BL307" s="229" t="s">
        <v>469</v>
      </c>
      <c r="BM307" s="258">
        <v>0.0</v>
      </c>
      <c r="BN307" s="258">
        <v>3.0</v>
      </c>
      <c r="BO307" s="258">
        <v>0.0</v>
      </c>
      <c r="BP307" s="258">
        <v>0.0</v>
      </c>
      <c r="BQ307" s="229"/>
      <c r="BR307" s="258">
        <v>11.0</v>
      </c>
      <c r="BS307" s="258">
        <v>3.0</v>
      </c>
      <c r="BT307" s="258">
        <v>0.0</v>
      </c>
      <c r="BU307" s="258">
        <v>42.0</v>
      </c>
      <c r="BV307" s="229" t="s">
        <v>469</v>
      </c>
      <c r="BW307" s="229"/>
      <c r="BX307" s="241">
        <v>0.0</v>
      </c>
      <c r="BY307" s="217"/>
      <c r="BZ307" s="217"/>
      <c r="CA307" s="217"/>
      <c r="CB307" s="217"/>
      <c r="CC307" s="229"/>
      <c r="CD307" s="241">
        <v>0.0</v>
      </c>
      <c r="CE307" s="217"/>
      <c r="CF307" s="217"/>
      <c r="CG307" s="217"/>
      <c r="CH307" s="217"/>
      <c r="CI307" s="229"/>
      <c r="CJ307" s="217"/>
      <c r="CK307" s="217"/>
      <c r="CL307" s="217"/>
      <c r="CM307" s="217"/>
      <c r="CN307" s="217"/>
      <c r="CO307" s="229"/>
      <c r="CP307" s="217"/>
      <c r="CQ307" s="217"/>
      <c r="CR307" s="217"/>
      <c r="CS307" s="217"/>
      <c r="CT307" s="217"/>
      <c r="CU307" s="229"/>
      <c r="CV307" s="217"/>
      <c r="CW307" s="217"/>
      <c r="CX307" s="217"/>
      <c r="CY307" s="217"/>
      <c r="CZ307" s="217"/>
      <c r="DA307" s="229"/>
      <c r="DB307" s="217"/>
      <c r="DC307" s="217"/>
      <c r="DD307" s="217"/>
      <c r="DE307" s="217"/>
      <c r="DF307" s="217"/>
      <c r="DG307" s="229"/>
      <c r="DH307" s="217"/>
      <c r="DI307" s="217"/>
      <c r="DJ307" s="217"/>
      <c r="DK307" s="217"/>
      <c r="DL307" s="217"/>
      <c r="DM307" s="229"/>
      <c r="DN307" s="217"/>
      <c r="DO307" s="217"/>
      <c r="DP307" s="217"/>
      <c r="DQ307" s="217"/>
      <c r="DR307" s="217"/>
      <c r="DS307" s="229"/>
      <c r="DT307" s="229"/>
      <c r="DU307" s="229"/>
      <c r="DV307" s="217"/>
      <c r="DW307" s="217"/>
      <c r="DX307" s="230"/>
      <c r="DY307" s="231"/>
      <c r="DZ307" s="231"/>
      <c r="EA307" s="230"/>
      <c r="EB307" s="232"/>
      <c r="EC307" s="217"/>
      <c r="ED307" s="233"/>
      <c r="EE307" s="234"/>
      <c r="EF307" s="233"/>
      <c r="EG307" s="235"/>
      <c r="EH307" s="236"/>
      <c r="EI307" s="217"/>
      <c r="EJ307" s="237"/>
      <c r="EK307" s="217"/>
      <c r="EL307" s="217"/>
      <c r="EM307" s="238"/>
      <c r="EN307" s="236"/>
      <c r="EO307" s="239"/>
      <c r="EP307" s="236"/>
      <c r="EQ307" s="217"/>
      <c r="ER307" s="217"/>
      <c r="ES307" s="236"/>
      <c r="ET307" s="236"/>
      <c r="EU307" s="236"/>
      <c r="EV307" s="239"/>
      <c r="EW307" s="236"/>
      <c r="EX307" s="217"/>
      <c r="EY307" s="240"/>
      <c r="EZ307" s="241"/>
      <c r="FA307" s="240"/>
      <c r="FB307" s="241"/>
      <c r="FC307" s="240"/>
      <c r="FD307" s="217"/>
      <c r="FE307" s="240"/>
      <c r="FF307" s="217"/>
      <c r="FG307" s="217"/>
      <c r="FH307" s="217"/>
      <c r="FI307" s="217"/>
      <c r="FJ307" s="217"/>
      <c r="FK307" s="240"/>
      <c r="FL307" s="217"/>
      <c r="FM307" s="240"/>
      <c r="FN307" s="217"/>
      <c r="FO307" s="240"/>
      <c r="FP307" s="217"/>
      <c r="FQ307" s="240"/>
      <c r="FR307" s="217"/>
      <c r="FS307" s="236"/>
      <c r="FT307" s="236"/>
      <c r="FU307" s="236"/>
      <c r="FV307" s="236"/>
      <c r="FW307" s="239"/>
      <c r="FX307" s="236"/>
      <c r="FY307" s="217"/>
      <c r="FZ307" s="240"/>
      <c r="GA307" s="217"/>
      <c r="GB307" s="242"/>
      <c r="GC307" s="217"/>
      <c r="GD307" s="240"/>
      <c r="GE307" s="240"/>
      <c r="GF307" s="240"/>
      <c r="GG307" s="240"/>
      <c r="GH307" s="240"/>
      <c r="GI307" s="217"/>
      <c r="GJ307" s="217"/>
      <c r="GK307" s="239"/>
      <c r="GL307" s="243"/>
    </row>
    <row r="308" ht="15.75" customHeight="1">
      <c r="A308" s="229" t="s">
        <v>1128</v>
      </c>
      <c r="B308" s="258">
        <v>1794407.0</v>
      </c>
      <c r="C308" s="259" t="s">
        <v>1789</v>
      </c>
      <c r="D308" s="260">
        <v>43790.57361111111</v>
      </c>
      <c r="E308" s="229" t="s">
        <v>325</v>
      </c>
      <c r="F308" s="261" t="s">
        <v>1790</v>
      </c>
      <c r="G308" s="261" t="s">
        <v>1791</v>
      </c>
      <c r="H308" s="262">
        <v>43893.0</v>
      </c>
      <c r="I308" s="259" t="s">
        <v>1792</v>
      </c>
      <c r="J308" s="259" t="s">
        <v>1789</v>
      </c>
      <c r="K308" s="229" t="s">
        <v>438</v>
      </c>
      <c r="L308" s="229" t="s">
        <v>390</v>
      </c>
      <c r="M308" s="229" t="s">
        <v>31</v>
      </c>
      <c r="N308" s="229" t="s">
        <v>82</v>
      </c>
      <c r="O308" s="229" t="s">
        <v>35</v>
      </c>
      <c r="P308" s="217"/>
      <c r="Q308" s="229" t="s">
        <v>169</v>
      </c>
      <c r="R308" s="263">
        <v>1.8</v>
      </c>
      <c r="S308" s="246"/>
      <c r="T308" s="220"/>
      <c r="U308" s="220"/>
      <c r="V308" s="221"/>
      <c r="W308" s="220"/>
      <c r="X308" s="222"/>
      <c r="Y308" s="222"/>
      <c r="Z308" s="229" t="s">
        <v>36</v>
      </c>
      <c r="AA308" s="229" t="s">
        <v>87</v>
      </c>
      <c r="AB308" s="229" t="s">
        <v>38</v>
      </c>
      <c r="AC308" s="229" t="s">
        <v>493</v>
      </c>
      <c r="AD308" s="229" t="s">
        <v>89</v>
      </c>
      <c r="AE308" s="229" t="s">
        <v>89</v>
      </c>
      <c r="AF308" s="229" t="s">
        <v>469</v>
      </c>
      <c r="AG308" s="264">
        <v>2.0645E10</v>
      </c>
      <c r="AH308" s="224" t="str">
        <f t="shared" si="609"/>
        <v>$10B-$25B</v>
      </c>
      <c r="AI308" s="264">
        <v>2.0645E10</v>
      </c>
      <c r="AJ308" s="224" t="str">
        <f t="shared" si="610"/>
        <v>$10B-$25B</v>
      </c>
      <c r="AK308" s="237">
        <v>0.04</v>
      </c>
      <c r="AL308" s="258"/>
      <c r="AM308" s="258">
        <v>28243.0</v>
      </c>
      <c r="AN308" s="229" t="s">
        <v>89</v>
      </c>
      <c r="AO308" s="229" t="s">
        <v>89</v>
      </c>
      <c r="AP308" s="229" t="s">
        <v>40</v>
      </c>
      <c r="AQ308" s="259"/>
      <c r="AR308" s="259"/>
      <c r="AS308" s="229" t="s">
        <v>469</v>
      </c>
      <c r="AT308" s="229" t="s">
        <v>469</v>
      </c>
      <c r="AU308" s="229" t="s">
        <v>493</v>
      </c>
      <c r="AV308" s="229" t="s">
        <v>493</v>
      </c>
      <c r="AW308" s="264">
        <v>0.0</v>
      </c>
      <c r="AX308" s="264"/>
      <c r="AY308" s="264">
        <v>0.0</v>
      </c>
      <c r="AZ308" s="264">
        <v>0.0</v>
      </c>
      <c r="BA308" s="219"/>
      <c r="BB308" s="219">
        <f t="shared" si="611"/>
        <v>1</v>
      </c>
      <c r="BC308" s="229"/>
      <c r="BD308" s="229" t="s">
        <v>91</v>
      </c>
      <c r="BE308" s="217"/>
      <c r="BF308" s="229" t="s">
        <v>469</v>
      </c>
      <c r="BG308" s="258">
        <v>0.0</v>
      </c>
      <c r="BH308" s="258">
        <v>1.0</v>
      </c>
      <c r="BI308" s="229" t="s">
        <v>493</v>
      </c>
      <c r="BJ308" s="229" t="s">
        <v>469</v>
      </c>
      <c r="BK308" s="229" t="s">
        <v>469</v>
      </c>
      <c r="BL308" s="229" t="s">
        <v>469</v>
      </c>
      <c r="BM308" s="258">
        <v>1.0</v>
      </c>
      <c r="BN308" s="258">
        <v>2.0</v>
      </c>
      <c r="BO308" s="258">
        <v>0.0</v>
      </c>
      <c r="BP308" s="258">
        <v>0.0</v>
      </c>
      <c r="BQ308" s="229"/>
      <c r="BR308" s="258">
        <v>20.0</v>
      </c>
      <c r="BS308" s="258">
        <v>0.0</v>
      </c>
      <c r="BT308" s="258">
        <v>0.0</v>
      </c>
      <c r="BU308" s="258">
        <v>58.0</v>
      </c>
      <c r="BV308" s="229" t="s">
        <v>469</v>
      </c>
      <c r="BW308" s="229"/>
      <c r="BX308" s="217"/>
      <c r="BY308" s="217"/>
      <c r="BZ308" s="217"/>
      <c r="CA308" s="217"/>
      <c r="CB308" s="217"/>
      <c r="CC308" s="229"/>
      <c r="CD308" s="217"/>
      <c r="CE308" s="217"/>
      <c r="CF308" s="217"/>
      <c r="CG308" s="217"/>
      <c r="CH308" s="217"/>
      <c r="CI308" s="229"/>
      <c r="CJ308" s="217"/>
      <c r="CK308" s="217"/>
      <c r="CL308" s="217"/>
      <c r="CM308" s="217"/>
      <c r="CN308" s="217"/>
      <c r="CO308" s="229"/>
      <c r="CP308" s="217"/>
      <c r="CQ308" s="217"/>
      <c r="CR308" s="217"/>
      <c r="CS308" s="217"/>
      <c r="CT308" s="217"/>
      <c r="CU308" s="229"/>
      <c r="CV308" s="217"/>
      <c r="CW308" s="217"/>
      <c r="CX308" s="217"/>
      <c r="CY308" s="217"/>
      <c r="CZ308" s="217"/>
      <c r="DA308" s="229"/>
      <c r="DB308" s="217"/>
      <c r="DC308" s="217"/>
      <c r="DD308" s="217"/>
      <c r="DE308" s="217"/>
      <c r="DF308" s="217"/>
      <c r="DG308" s="229"/>
      <c r="DH308" s="217"/>
      <c r="DI308" s="217"/>
      <c r="DJ308" s="217"/>
      <c r="DK308" s="217"/>
      <c r="DL308" s="217"/>
      <c r="DM308" s="229"/>
      <c r="DN308" s="217"/>
      <c r="DO308" s="217"/>
      <c r="DP308" s="217"/>
      <c r="DQ308" s="217"/>
      <c r="DR308" s="217"/>
      <c r="DS308" s="229"/>
      <c r="DT308" s="229"/>
      <c r="DU308" s="229"/>
      <c r="DV308" s="217"/>
      <c r="DW308" s="217"/>
      <c r="DX308" s="230"/>
      <c r="DY308" s="231"/>
      <c r="DZ308" s="231"/>
      <c r="EA308" s="230"/>
      <c r="EB308" s="232"/>
      <c r="EC308" s="217"/>
      <c r="ED308" s="233"/>
      <c r="EE308" s="234"/>
      <c r="EF308" s="233"/>
      <c r="EG308" s="235"/>
      <c r="EH308" s="236"/>
      <c r="EI308" s="217"/>
      <c r="EJ308" s="237"/>
      <c r="EK308" s="217"/>
      <c r="EL308" s="217"/>
      <c r="EM308" s="238"/>
      <c r="EN308" s="236"/>
      <c r="EO308" s="239"/>
      <c r="EP308" s="236"/>
      <c r="EQ308" s="217"/>
      <c r="ER308" s="217"/>
      <c r="ES308" s="236"/>
      <c r="ET308" s="236"/>
      <c r="EU308" s="236"/>
      <c r="EV308" s="239"/>
      <c r="EW308" s="236"/>
      <c r="EX308" s="217"/>
      <c r="EY308" s="240"/>
      <c r="EZ308" s="241"/>
      <c r="FA308" s="240"/>
      <c r="FB308" s="241"/>
      <c r="FC308" s="240"/>
      <c r="FD308" s="217"/>
      <c r="FE308" s="240"/>
      <c r="FF308" s="217"/>
      <c r="FG308" s="217"/>
      <c r="FH308" s="217"/>
      <c r="FI308" s="217"/>
      <c r="FJ308" s="217"/>
      <c r="FK308" s="240"/>
      <c r="FL308" s="217"/>
      <c r="FM308" s="240"/>
      <c r="FN308" s="217"/>
      <c r="FO308" s="240"/>
      <c r="FP308" s="217"/>
      <c r="FQ308" s="240"/>
      <c r="FR308" s="217"/>
      <c r="FS308" s="236"/>
      <c r="FT308" s="236"/>
      <c r="FU308" s="236"/>
      <c r="FV308" s="236"/>
      <c r="FW308" s="239"/>
      <c r="FX308" s="236"/>
      <c r="FY308" s="217"/>
      <c r="FZ308" s="240"/>
      <c r="GA308" s="217"/>
      <c r="GB308" s="242"/>
      <c r="GC308" s="217"/>
      <c r="GD308" s="240"/>
      <c r="GE308" s="240"/>
      <c r="GF308" s="240"/>
      <c r="GG308" s="240"/>
      <c r="GH308" s="240"/>
      <c r="GI308" s="217"/>
      <c r="GJ308" s="217"/>
      <c r="GK308" s="239"/>
      <c r="GL308" s="243"/>
    </row>
    <row r="309" ht="15.75" customHeight="1">
      <c r="A309" s="229" t="s">
        <v>1128</v>
      </c>
      <c r="B309" s="258">
        <v>1788198.0</v>
      </c>
      <c r="C309" s="259" t="s">
        <v>1793</v>
      </c>
      <c r="D309" s="260">
        <v>43819.51111111111</v>
      </c>
      <c r="E309" s="229" t="s">
        <v>392</v>
      </c>
      <c r="F309" s="261" t="s">
        <v>1794</v>
      </c>
      <c r="G309" s="261" t="s">
        <v>1795</v>
      </c>
      <c r="H309" s="262">
        <v>43760.0</v>
      </c>
      <c r="I309" s="259" t="s">
        <v>1796</v>
      </c>
      <c r="J309" s="259" t="s">
        <v>1797</v>
      </c>
      <c r="K309" s="229" t="s">
        <v>496</v>
      </c>
      <c r="L309" s="229" t="s">
        <v>390</v>
      </c>
      <c r="M309" s="229" t="s">
        <v>31</v>
      </c>
      <c r="N309" s="229" t="s">
        <v>82</v>
      </c>
      <c r="O309" s="229" t="s">
        <v>35</v>
      </c>
      <c r="P309" s="217"/>
      <c r="Q309" s="229" t="s">
        <v>157</v>
      </c>
      <c r="R309" s="263">
        <v>2.0</v>
      </c>
      <c r="S309" s="246"/>
      <c r="T309" s="220"/>
      <c r="U309" s="220"/>
      <c r="V309" s="221"/>
      <c r="W309" s="220"/>
      <c r="X309" s="222"/>
      <c r="Y309" s="222"/>
      <c r="Z309" s="229" t="s">
        <v>36</v>
      </c>
      <c r="AA309" s="229" t="s">
        <v>123</v>
      </c>
      <c r="AB309" s="229" t="s">
        <v>38</v>
      </c>
      <c r="AC309" s="229" t="s">
        <v>469</v>
      </c>
      <c r="AD309" s="229" t="s">
        <v>39</v>
      </c>
      <c r="AE309" s="229" t="s">
        <v>39</v>
      </c>
      <c r="AF309" s="229" t="s">
        <v>469</v>
      </c>
      <c r="AG309" s="264">
        <v>1.1321E10</v>
      </c>
      <c r="AH309" s="224" t="str">
        <f t="shared" si="609"/>
        <v>$10B-$25B</v>
      </c>
      <c r="AI309" s="264">
        <v>1.24531E9</v>
      </c>
      <c r="AJ309" s="224" t="str">
        <f t="shared" si="610"/>
        <v>$1B-$5B</v>
      </c>
      <c r="AK309" s="237">
        <v>0.0</v>
      </c>
      <c r="AL309" s="258"/>
      <c r="AM309" s="258">
        <v>877.0</v>
      </c>
      <c r="AN309" s="229" t="s">
        <v>89</v>
      </c>
      <c r="AO309" s="229" t="s">
        <v>89</v>
      </c>
      <c r="AP309" s="229" t="s">
        <v>40</v>
      </c>
      <c r="AQ309" s="259"/>
      <c r="AR309" s="259"/>
      <c r="AS309" s="229" t="s">
        <v>469</v>
      </c>
      <c r="AT309" s="229" t="s">
        <v>469</v>
      </c>
      <c r="AU309" s="229" t="s">
        <v>469</v>
      </c>
      <c r="AV309" s="229" t="s">
        <v>469</v>
      </c>
      <c r="AW309" s="264">
        <v>0.0</v>
      </c>
      <c r="AX309" s="264"/>
      <c r="AY309" s="264">
        <v>528.0</v>
      </c>
      <c r="AZ309" s="264">
        <v>152764.0</v>
      </c>
      <c r="BA309" s="219"/>
      <c r="BB309" s="219">
        <f t="shared" si="611"/>
        <v>0.003456311696</v>
      </c>
      <c r="BC309" s="229"/>
      <c r="BD309" s="229" t="s">
        <v>41</v>
      </c>
      <c r="BE309" s="217"/>
      <c r="BF309" s="229" t="s">
        <v>469</v>
      </c>
      <c r="BG309" s="258">
        <v>0.0</v>
      </c>
      <c r="BH309" s="258">
        <v>1.0</v>
      </c>
      <c r="BI309" s="229" t="s">
        <v>493</v>
      </c>
      <c r="BJ309" s="229" t="s">
        <v>469</v>
      </c>
      <c r="BK309" s="229" t="s">
        <v>469</v>
      </c>
      <c r="BL309" s="229" t="s">
        <v>469</v>
      </c>
      <c r="BM309" s="258">
        <v>1.0</v>
      </c>
      <c r="BN309" s="258">
        <v>1.0</v>
      </c>
      <c r="BO309" s="258">
        <v>0.0</v>
      </c>
      <c r="BP309" s="258">
        <v>0.0</v>
      </c>
      <c r="BQ309" s="229"/>
      <c r="BR309" s="258">
        <v>24.0</v>
      </c>
      <c r="BS309" s="258">
        <v>0.0</v>
      </c>
      <c r="BT309" s="258">
        <v>0.0</v>
      </c>
      <c r="BU309" s="258">
        <v>38.0</v>
      </c>
      <c r="BV309" s="229" t="s">
        <v>469</v>
      </c>
      <c r="BW309" s="229"/>
      <c r="BX309" s="217"/>
      <c r="BY309" s="217"/>
      <c r="BZ309" s="217"/>
      <c r="CA309" s="217"/>
      <c r="CB309" s="217"/>
      <c r="CC309" s="229"/>
      <c r="CD309" s="217"/>
      <c r="CE309" s="217"/>
      <c r="CF309" s="217"/>
      <c r="CG309" s="217"/>
      <c r="CH309" s="217"/>
      <c r="CI309" s="229"/>
      <c r="CJ309" s="217"/>
      <c r="CK309" s="217"/>
      <c r="CL309" s="217"/>
      <c r="CM309" s="217"/>
      <c r="CN309" s="217"/>
      <c r="CO309" s="229"/>
      <c r="CP309" s="217"/>
      <c r="CQ309" s="217"/>
      <c r="CR309" s="217"/>
      <c r="CS309" s="217"/>
      <c r="CT309" s="217"/>
      <c r="CU309" s="229"/>
      <c r="CV309" s="217"/>
      <c r="CW309" s="217"/>
      <c r="CX309" s="217"/>
      <c r="CY309" s="217"/>
      <c r="CZ309" s="217"/>
      <c r="DA309" s="229"/>
      <c r="DB309" s="217"/>
      <c r="DC309" s="217"/>
      <c r="DD309" s="217"/>
      <c r="DE309" s="217"/>
      <c r="DF309" s="217"/>
      <c r="DG309" s="229"/>
      <c r="DH309" s="217"/>
      <c r="DI309" s="217"/>
      <c r="DJ309" s="217"/>
      <c r="DK309" s="217"/>
      <c r="DL309" s="217"/>
      <c r="DM309" s="229"/>
      <c r="DN309" s="217"/>
      <c r="DO309" s="217"/>
      <c r="DP309" s="217"/>
      <c r="DQ309" s="217"/>
      <c r="DR309" s="217"/>
      <c r="DS309" s="229"/>
      <c r="DT309" s="229"/>
      <c r="DU309" s="229"/>
      <c r="DV309" s="217"/>
      <c r="DW309" s="217"/>
      <c r="DX309" s="230"/>
      <c r="DY309" s="231"/>
      <c r="DZ309" s="231"/>
      <c r="EA309" s="230"/>
      <c r="EB309" s="232"/>
      <c r="EC309" s="217"/>
      <c r="ED309" s="233"/>
      <c r="EE309" s="234"/>
      <c r="EF309" s="233"/>
      <c r="EG309" s="235"/>
      <c r="EH309" s="236"/>
      <c r="EI309" s="217"/>
      <c r="EJ309" s="237"/>
      <c r="EK309" s="217"/>
      <c r="EL309" s="217"/>
      <c r="EM309" s="238"/>
      <c r="EN309" s="236"/>
      <c r="EO309" s="239"/>
      <c r="EP309" s="236"/>
      <c r="EQ309" s="217"/>
      <c r="ER309" s="217"/>
      <c r="ES309" s="236"/>
      <c r="ET309" s="236"/>
      <c r="EU309" s="236"/>
      <c r="EV309" s="239"/>
      <c r="EW309" s="236"/>
      <c r="EX309" s="217"/>
      <c r="EY309" s="240"/>
      <c r="EZ309" s="241"/>
      <c r="FA309" s="240"/>
      <c r="FB309" s="241"/>
      <c r="FC309" s="240"/>
      <c r="FD309" s="217"/>
      <c r="FE309" s="240"/>
      <c r="FF309" s="217"/>
      <c r="FG309" s="217"/>
      <c r="FH309" s="217"/>
      <c r="FI309" s="217"/>
      <c r="FJ309" s="217"/>
      <c r="FK309" s="240"/>
      <c r="FL309" s="217"/>
      <c r="FM309" s="240"/>
      <c r="FN309" s="217"/>
      <c r="FO309" s="240"/>
      <c r="FP309" s="217"/>
      <c r="FQ309" s="240"/>
      <c r="FR309" s="217"/>
      <c r="FS309" s="236"/>
      <c r="FT309" s="236"/>
      <c r="FU309" s="236"/>
      <c r="FV309" s="236"/>
      <c r="FW309" s="239"/>
      <c r="FX309" s="236"/>
      <c r="FY309" s="217"/>
      <c r="FZ309" s="240"/>
      <c r="GA309" s="217"/>
      <c r="GB309" s="242"/>
      <c r="GC309" s="217"/>
      <c r="GD309" s="240"/>
      <c r="GE309" s="240"/>
      <c r="GF309" s="240"/>
      <c r="GG309" s="240"/>
      <c r="GH309" s="240"/>
      <c r="GI309" s="217"/>
      <c r="GJ309" s="217"/>
      <c r="GK309" s="239"/>
      <c r="GL309" s="243"/>
    </row>
    <row r="310" ht="15.75" customHeight="1">
      <c r="A310" s="229" t="s">
        <v>1128</v>
      </c>
      <c r="B310" s="258">
        <v>1783625.0</v>
      </c>
      <c r="C310" s="259" t="s">
        <v>1798</v>
      </c>
      <c r="D310" s="260">
        <v>43832.54722222222</v>
      </c>
      <c r="E310" s="229" t="s">
        <v>325</v>
      </c>
      <c r="F310" s="261" t="s">
        <v>1799</v>
      </c>
      <c r="G310" s="261" t="s">
        <v>1800</v>
      </c>
      <c r="H310" s="262">
        <v>43872.0</v>
      </c>
      <c r="I310" s="259" t="s">
        <v>1801</v>
      </c>
      <c r="J310" s="259" t="s">
        <v>1798</v>
      </c>
      <c r="K310" s="229" t="s">
        <v>436</v>
      </c>
      <c r="L310" s="229" t="s">
        <v>390</v>
      </c>
      <c r="M310" s="229" t="s">
        <v>31</v>
      </c>
      <c r="N310" s="229" t="s">
        <v>32</v>
      </c>
      <c r="O310" s="229" t="s">
        <v>35</v>
      </c>
      <c r="P310" s="217"/>
      <c r="Q310" s="229" t="s">
        <v>169</v>
      </c>
      <c r="R310" s="263">
        <v>1.35</v>
      </c>
      <c r="S310" s="246"/>
      <c r="T310" s="220"/>
      <c r="U310" s="220"/>
      <c r="V310" s="221"/>
      <c r="W310" s="220"/>
      <c r="X310" s="222"/>
      <c r="Y310" s="222"/>
      <c r="Z310" s="229" t="s">
        <v>36</v>
      </c>
      <c r="AA310" s="229" t="s">
        <v>87</v>
      </c>
      <c r="AB310" s="229" t="s">
        <v>38</v>
      </c>
      <c r="AC310" s="229" t="s">
        <v>493</v>
      </c>
      <c r="AD310" s="229" t="s">
        <v>89</v>
      </c>
      <c r="AE310" s="229" t="s">
        <v>39</v>
      </c>
      <c r="AF310" s="229" t="s">
        <v>469</v>
      </c>
      <c r="AG310" s="264">
        <v>1.142E11</v>
      </c>
      <c r="AH310" s="224" t="str">
        <f t="shared" si="609"/>
        <v>$100B-$250B</v>
      </c>
      <c r="AI310" s="264">
        <v>2.76E10</v>
      </c>
      <c r="AJ310" s="224" t="str">
        <f t="shared" si="610"/>
        <v>$25B-$50B</v>
      </c>
      <c r="AK310" s="237">
        <v>0.04</v>
      </c>
      <c r="AL310" s="258"/>
      <c r="AM310" s="258">
        <v>7450.0</v>
      </c>
      <c r="AN310" s="229" t="s">
        <v>89</v>
      </c>
      <c r="AO310" s="229" t="s">
        <v>89</v>
      </c>
      <c r="AP310" s="229" t="s">
        <v>40</v>
      </c>
      <c r="AQ310" s="259"/>
      <c r="AR310" s="259"/>
      <c r="AS310" s="229" t="s">
        <v>469</v>
      </c>
      <c r="AT310" s="229" t="s">
        <v>469</v>
      </c>
      <c r="AU310" s="229" t="s">
        <v>469</v>
      </c>
      <c r="AV310" s="229" t="s">
        <v>469</v>
      </c>
      <c r="AW310" s="264">
        <v>0.0</v>
      </c>
      <c r="AX310" s="264"/>
      <c r="AY310" s="264">
        <v>0.0</v>
      </c>
      <c r="AZ310" s="264">
        <v>0.0</v>
      </c>
      <c r="BA310" s="219"/>
      <c r="BB310" s="219">
        <f t="shared" si="611"/>
        <v>1</v>
      </c>
      <c r="BC310" s="229"/>
      <c r="BD310" s="229" t="s">
        <v>41</v>
      </c>
      <c r="BE310" s="217"/>
      <c r="BF310" s="229" t="s">
        <v>469</v>
      </c>
      <c r="BG310" s="258">
        <v>0.0</v>
      </c>
      <c r="BH310" s="258">
        <v>1.0</v>
      </c>
      <c r="BI310" s="229" t="s">
        <v>469</v>
      </c>
      <c r="BJ310" s="229" t="s">
        <v>493</v>
      </c>
      <c r="BK310" s="229" t="s">
        <v>469</v>
      </c>
      <c r="BL310" s="229" t="s">
        <v>469</v>
      </c>
      <c r="BM310" s="258">
        <v>2.0</v>
      </c>
      <c r="BN310" s="258">
        <v>1.0</v>
      </c>
      <c r="BO310" s="258">
        <v>0.0</v>
      </c>
      <c r="BP310" s="258">
        <v>0.0</v>
      </c>
      <c r="BQ310" s="229"/>
      <c r="BR310" s="258">
        <v>0.0</v>
      </c>
      <c r="BS310" s="258">
        <v>0.0</v>
      </c>
      <c r="BT310" s="258">
        <v>0.0</v>
      </c>
      <c r="BU310" s="258">
        <v>38.0</v>
      </c>
      <c r="BV310" s="229" t="s">
        <v>493</v>
      </c>
      <c r="BW310" s="229"/>
      <c r="BX310" s="217"/>
      <c r="BY310" s="217"/>
      <c r="BZ310" s="217"/>
      <c r="CA310" s="217"/>
      <c r="CB310" s="217"/>
      <c r="CC310" s="229"/>
      <c r="CD310" s="217"/>
      <c r="CE310" s="217"/>
      <c r="CF310" s="217"/>
      <c r="CG310" s="217"/>
      <c r="CH310" s="217"/>
      <c r="CI310" s="229"/>
      <c r="CJ310" s="217"/>
      <c r="CK310" s="217"/>
      <c r="CL310" s="217"/>
      <c r="CM310" s="217"/>
      <c r="CN310" s="217"/>
      <c r="CO310" s="229"/>
      <c r="CP310" s="217"/>
      <c r="CQ310" s="217"/>
      <c r="CR310" s="217"/>
      <c r="CS310" s="217"/>
      <c r="CT310" s="217"/>
      <c r="CU310" s="229"/>
      <c r="CV310" s="217"/>
      <c r="CW310" s="217"/>
      <c r="CX310" s="217"/>
      <c r="CY310" s="217"/>
      <c r="CZ310" s="217"/>
      <c r="DA310" s="229"/>
      <c r="DB310" s="217"/>
      <c r="DC310" s="217"/>
      <c r="DD310" s="217"/>
      <c r="DE310" s="217"/>
      <c r="DF310" s="217"/>
      <c r="DG310" s="229"/>
      <c r="DH310" s="217"/>
      <c r="DI310" s="217"/>
      <c r="DJ310" s="217"/>
      <c r="DK310" s="217"/>
      <c r="DL310" s="217"/>
      <c r="DM310" s="229"/>
      <c r="DN310" s="217"/>
      <c r="DO310" s="217"/>
      <c r="DP310" s="217"/>
      <c r="DQ310" s="217"/>
      <c r="DR310" s="217"/>
      <c r="DS310" s="229"/>
      <c r="DT310" s="229"/>
      <c r="DU310" s="229"/>
      <c r="DV310" s="217"/>
      <c r="DW310" s="217"/>
      <c r="DX310" s="230"/>
      <c r="DY310" s="231"/>
      <c r="DZ310" s="231"/>
      <c r="EA310" s="230"/>
      <c r="EB310" s="232"/>
      <c r="EC310" s="217"/>
      <c r="ED310" s="233"/>
      <c r="EE310" s="234"/>
      <c r="EF310" s="233"/>
      <c r="EG310" s="235"/>
      <c r="EH310" s="236"/>
      <c r="EI310" s="217"/>
      <c r="EJ310" s="237"/>
      <c r="EK310" s="217"/>
      <c r="EL310" s="217"/>
      <c r="EM310" s="238"/>
      <c r="EN310" s="236"/>
      <c r="EO310" s="239"/>
      <c r="EP310" s="236"/>
      <c r="EQ310" s="217"/>
      <c r="ER310" s="217"/>
      <c r="ES310" s="236"/>
      <c r="ET310" s="236"/>
      <c r="EU310" s="236"/>
      <c r="EV310" s="239"/>
      <c r="EW310" s="236"/>
      <c r="EX310" s="217"/>
      <c r="EY310" s="240"/>
      <c r="EZ310" s="241"/>
      <c r="FA310" s="240"/>
      <c r="FB310" s="241"/>
      <c r="FC310" s="240"/>
      <c r="FD310" s="217"/>
      <c r="FE310" s="240"/>
      <c r="FF310" s="217"/>
      <c r="FG310" s="217"/>
      <c r="FH310" s="217"/>
      <c r="FI310" s="217"/>
      <c r="FJ310" s="217"/>
      <c r="FK310" s="240"/>
      <c r="FL310" s="217"/>
      <c r="FM310" s="240"/>
      <c r="FN310" s="217"/>
      <c r="FO310" s="240"/>
      <c r="FP310" s="217"/>
      <c r="FQ310" s="240"/>
      <c r="FR310" s="217"/>
      <c r="FS310" s="236"/>
      <c r="FT310" s="236"/>
      <c r="FU310" s="236"/>
      <c r="FV310" s="236"/>
      <c r="FW310" s="239"/>
      <c r="FX310" s="236"/>
      <c r="FY310" s="217"/>
      <c r="FZ310" s="240"/>
      <c r="GA310" s="217"/>
      <c r="GB310" s="242"/>
      <c r="GC310" s="217"/>
      <c r="GD310" s="240"/>
      <c r="GE310" s="240"/>
      <c r="GF310" s="240"/>
      <c r="GG310" s="240"/>
      <c r="GH310" s="240"/>
      <c r="GI310" s="217"/>
      <c r="GJ310" s="217"/>
      <c r="GK310" s="239"/>
      <c r="GL310" s="243"/>
    </row>
    <row r="311" ht="15.75" customHeight="1">
      <c r="A311" s="229" t="s">
        <v>1128</v>
      </c>
      <c r="B311" s="258">
        <v>1793868.0</v>
      </c>
      <c r="C311" s="259" t="s">
        <v>1802</v>
      </c>
      <c r="D311" s="260">
        <v>43852.35972222222</v>
      </c>
      <c r="E311" s="229" t="s">
        <v>274</v>
      </c>
      <c r="F311" s="261" t="s">
        <v>1803</v>
      </c>
      <c r="G311" s="261" t="s">
        <v>1804</v>
      </c>
      <c r="H311" s="262">
        <v>43910.0</v>
      </c>
      <c r="I311" s="259" t="s">
        <v>1805</v>
      </c>
      <c r="J311" s="259" t="s">
        <v>1806</v>
      </c>
      <c r="K311" s="229" t="s">
        <v>529</v>
      </c>
      <c r="L311" s="229" t="s">
        <v>390</v>
      </c>
      <c r="M311" s="229" t="s">
        <v>81</v>
      </c>
      <c r="N311" s="229" t="s">
        <v>82</v>
      </c>
      <c r="O311" s="229" t="s">
        <v>35</v>
      </c>
      <c r="P311" s="217"/>
      <c r="Q311" s="229" t="s">
        <v>103</v>
      </c>
      <c r="R311" s="218"/>
      <c r="S311" s="265">
        <v>0.105</v>
      </c>
      <c r="T311" s="220"/>
      <c r="U311" s="220"/>
      <c r="V311" s="221"/>
      <c r="W311" s="220"/>
      <c r="X311" s="222"/>
      <c r="Y311" s="222"/>
      <c r="Z311" s="229" t="s">
        <v>36</v>
      </c>
      <c r="AA311" s="229" t="s">
        <v>87</v>
      </c>
      <c r="AB311" s="229" t="s">
        <v>38</v>
      </c>
      <c r="AC311" s="229" t="s">
        <v>493</v>
      </c>
      <c r="AD311" s="229" t="s">
        <v>89</v>
      </c>
      <c r="AE311" s="229" t="s">
        <v>89</v>
      </c>
      <c r="AF311" s="229" t="s">
        <v>469</v>
      </c>
      <c r="AG311" s="264">
        <v>3.015E12</v>
      </c>
      <c r="AH311" s="224" t="str">
        <f t="shared" si="609"/>
        <v>&gt; $1T</v>
      </c>
      <c r="AI311" s="264">
        <v>3.015E12</v>
      </c>
      <c r="AJ311" s="224" t="str">
        <f t="shared" si="610"/>
        <v>&gt; $1T</v>
      </c>
      <c r="AK311" s="237">
        <v>0.04</v>
      </c>
      <c r="AL311" s="258"/>
      <c r="AM311" s="258">
        <v>62500.0</v>
      </c>
      <c r="AN311" s="229" t="s">
        <v>89</v>
      </c>
      <c r="AO311" s="229" t="s">
        <v>89</v>
      </c>
      <c r="AP311" s="229" t="s">
        <v>40</v>
      </c>
      <c r="AQ311" s="259"/>
      <c r="AR311" s="259"/>
      <c r="AS311" s="229" t="s">
        <v>469</v>
      </c>
      <c r="AT311" s="229" t="s">
        <v>469</v>
      </c>
      <c r="AU311" s="229" t="s">
        <v>493</v>
      </c>
      <c r="AV311" s="229" t="s">
        <v>493</v>
      </c>
      <c r="AW311" s="264">
        <v>345352.0</v>
      </c>
      <c r="AX311" s="264"/>
      <c r="AY311" s="264">
        <v>2529.0</v>
      </c>
      <c r="AZ311" s="264">
        <v>120634.0</v>
      </c>
      <c r="BA311" s="219"/>
      <c r="BB311" s="219">
        <f t="shared" si="611"/>
        <v>0.02096423894</v>
      </c>
      <c r="BC311" s="229"/>
      <c r="BD311" s="229" t="s">
        <v>124</v>
      </c>
      <c r="BE311" s="217"/>
      <c r="BF311" s="229" t="s">
        <v>469</v>
      </c>
      <c r="BG311" s="258">
        <v>0.0</v>
      </c>
      <c r="BH311" s="258">
        <v>2.0</v>
      </c>
      <c r="BI311" s="229" t="s">
        <v>493</v>
      </c>
      <c r="BJ311" s="229" t="s">
        <v>469</v>
      </c>
      <c r="BK311" s="229" t="s">
        <v>469</v>
      </c>
      <c r="BL311" s="229" t="s">
        <v>469</v>
      </c>
      <c r="BM311" s="258">
        <v>0.0</v>
      </c>
      <c r="BN311" s="258">
        <v>11.0</v>
      </c>
      <c r="BO311" s="258">
        <v>0.0</v>
      </c>
      <c r="BP311" s="258">
        <v>0.0</v>
      </c>
      <c r="BQ311" s="229"/>
      <c r="BR311" s="258">
        <v>2.0</v>
      </c>
      <c r="BS311" s="258">
        <v>0.0</v>
      </c>
      <c r="BT311" s="258">
        <v>0.0</v>
      </c>
      <c r="BU311" s="258">
        <v>42.0</v>
      </c>
      <c r="BV311" s="229" t="s">
        <v>469</v>
      </c>
      <c r="BW311" s="229"/>
      <c r="BX311" s="241">
        <v>2.0</v>
      </c>
      <c r="BY311" s="217"/>
      <c r="BZ311" s="217"/>
      <c r="CA311" s="217"/>
      <c r="CB311" s="217"/>
      <c r="CC311" s="229"/>
      <c r="CD311" s="217"/>
      <c r="CE311" s="217"/>
      <c r="CF311" s="217"/>
      <c r="CG311" s="217"/>
      <c r="CH311" s="217"/>
      <c r="CI311" s="229"/>
      <c r="CJ311" s="217"/>
      <c r="CK311" s="217"/>
      <c r="CL311" s="217"/>
      <c r="CM311" s="217"/>
      <c r="CN311" s="217"/>
      <c r="CO311" s="229"/>
      <c r="CP311" s="217"/>
      <c r="CQ311" s="217"/>
      <c r="CR311" s="217"/>
      <c r="CS311" s="217"/>
      <c r="CT311" s="217"/>
      <c r="CU311" s="229"/>
      <c r="CV311" s="217"/>
      <c r="CW311" s="217"/>
      <c r="CX311" s="217"/>
      <c r="CY311" s="217"/>
      <c r="CZ311" s="217"/>
      <c r="DA311" s="229"/>
      <c r="DB311" s="217"/>
      <c r="DC311" s="217"/>
      <c r="DD311" s="217"/>
      <c r="DE311" s="217"/>
      <c r="DF311" s="217"/>
      <c r="DG311" s="229"/>
      <c r="DH311" s="217"/>
      <c r="DI311" s="217"/>
      <c r="DJ311" s="217"/>
      <c r="DK311" s="217"/>
      <c r="DL311" s="217"/>
      <c r="DM311" s="229"/>
      <c r="DN311" s="217"/>
      <c r="DO311" s="217"/>
      <c r="DP311" s="217"/>
      <c r="DQ311" s="217"/>
      <c r="DR311" s="217"/>
      <c r="DS311" s="229"/>
      <c r="DT311" s="229"/>
      <c r="DU311" s="229"/>
      <c r="DV311" s="217"/>
      <c r="DW311" s="217"/>
      <c r="DX311" s="230"/>
      <c r="DY311" s="231"/>
      <c r="DZ311" s="231"/>
      <c r="EA311" s="230"/>
      <c r="EB311" s="232"/>
      <c r="EC311" s="217"/>
      <c r="ED311" s="233"/>
      <c r="EE311" s="234"/>
      <c r="EF311" s="235"/>
      <c r="EG311" s="233"/>
      <c r="EH311" s="236"/>
      <c r="EI311" s="217"/>
      <c r="EJ311" s="237"/>
      <c r="EK311" s="217"/>
      <c r="EL311" s="217"/>
      <c r="EM311" s="238"/>
      <c r="EN311" s="236"/>
      <c r="EO311" s="239"/>
      <c r="EP311" s="236"/>
      <c r="EQ311" s="217"/>
      <c r="ER311" s="217"/>
      <c r="ES311" s="236"/>
      <c r="ET311" s="236"/>
      <c r="EU311" s="236"/>
      <c r="EV311" s="239"/>
      <c r="EW311" s="236"/>
      <c r="EX311" s="217"/>
      <c r="EY311" s="240"/>
      <c r="EZ311" s="241"/>
      <c r="FA311" s="240"/>
      <c r="FB311" s="241"/>
      <c r="FC311" s="240"/>
      <c r="FD311" s="217"/>
      <c r="FE311" s="240"/>
      <c r="FF311" s="217"/>
      <c r="FG311" s="217"/>
      <c r="FH311" s="217"/>
      <c r="FI311" s="217"/>
      <c r="FJ311" s="217"/>
      <c r="FK311" s="240"/>
      <c r="FL311" s="217"/>
      <c r="FM311" s="240"/>
      <c r="FN311" s="217"/>
      <c r="FO311" s="240"/>
      <c r="FP311" s="217"/>
      <c r="FQ311" s="240"/>
      <c r="FR311" s="217"/>
      <c r="FS311" s="236"/>
      <c r="FT311" s="236"/>
      <c r="FU311" s="236"/>
      <c r="FV311" s="236"/>
      <c r="FW311" s="239"/>
      <c r="FX311" s="236"/>
      <c r="FY311" s="217"/>
      <c r="FZ311" s="240"/>
      <c r="GA311" s="217"/>
      <c r="GB311" s="242"/>
      <c r="GC311" s="217"/>
      <c r="GD311" s="240"/>
      <c r="GE311" s="240"/>
      <c r="GF311" s="240"/>
      <c r="GG311" s="240"/>
      <c r="GH311" s="240"/>
      <c r="GI311" s="217"/>
      <c r="GJ311" s="217"/>
      <c r="GK311" s="239"/>
      <c r="GL311" s="243"/>
    </row>
    <row r="312" ht="15.75" customHeight="1">
      <c r="A312" s="229" t="s">
        <v>1128</v>
      </c>
      <c r="B312" s="258">
        <v>1800155.0</v>
      </c>
      <c r="C312" s="259" t="s">
        <v>1807</v>
      </c>
      <c r="D312" s="260">
        <v>43857.68194444444</v>
      </c>
      <c r="E312" s="229" t="s">
        <v>274</v>
      </c>
      <c r="F312" s="261" t="s">
        <v>1808</v>
      </c>
      <c r="G312" s="261" t="s">
        <v>1809</v>
      </c>
      <c r="H312" s="262">
        <v>43846.0</v>
      </c>
      <c r="I312" s="259" t="s">
        <v>1810</v>
      </c>
      <c r="J312" s="259" t="s">
        <v>1811</v>
      </c>
      <c r="K312" s="229" t="s">
        <v>423</v>
      </c>
      <c r="L312" s="229" t="s">
        <v>390</v>
      </c>
      <c r="M312" s="229" t="s">
        <v>81</v>
      </c>
      <c r="N312" s="229" t="s">
        <v>82</v>
      </c>
      <c r="O312" s="229" t="s">
        <v>35</v>
      </c>
      <c r="P312" s="217"/>
      <c r="Q312" s="229" t="s">
        <v>103</v>
      </c>
      <c r="R312" s="218"/>
      <c r="S312" s="265">
        <v>0.1325</v>
      </c>
      <c r="T312" s="220"/>
      <c r="U312" s="220"/>
      <c r="V312" s="221"/>
      <c r="W312" s="220"/>
      <c r="X312" s="222"/>
      <c r="Y312" s="222"/>
      <c r="Z312" s="229" t="s">
        <v>36</v>
      </c>
      <c r="AA312" s="229" t="s">
        <v>87</v>
      </c>
      <c r="AB312" s="229" t="s">
        <v>38</v>
      </c>
      <c r="AC312" s="229" t="s">
        <v>493</v>
      </c>
      <c r="AD312" s="229" t="s">
        <v>89</v>
      </c>
      <c r="AE312" s="229" t="s">
        <v>89</v>
      </c>
      <c r="AF312" s="229" t="s">
        <v>469</v>
      </c>
      <c r="AG312" s="264">
        <v>2.628E10</v>
      </c>
      <c r="AH312" s="224" t="str">
        <f t="shared" si="609"/>
        <v>$25B-$50B</v>
      </c>
      <c r="AI312" s="264">
        <v>1.892E10</v>
      </c>
      <c r="AJ312" s="224" t="str">
        <f t="shared" si="610"/>
        <v>$10B-$25B</v>
      </c>
      <c r="AK312" s="237">
        <v>0.09</v>
      </c>
      <c r="AL312" s="258"/>
      <c r="AM312" s="258">
        <v>14830.0</v>
      </c>
      <c r="AN312" s="229" t="s">
        <v>89</v>
      </c>
      <c r="AO312" s="229" t="s">
        <v>89</v>
      </c>
      <c r="AP312" s="229" t="s">
        <v>40</v>
      </c>
      <c r="AQ312" s="259"/>
      <c r="AR312" s="259"/>
      <c r="AS312" s="229" t="s">
        <v>493</v>
      </c>
      <c r="AT312" s="229" t="s">
        <v>469</v>
      </c>
      <c r="AU312" s="229" t="s">
        <v>493</v>
      </c>
      <c r="AV312" s="229" t="s">
        <v>493</v>
      </c>
      <c r="AW312" s="264">
        <v>141874.0</v>
      </c>
      <c r="AX312" s="264"/>
      <c r="AY312" s="264">
        <v>578.0</v>
      </c>
      <c r="AZ312" s="264">
        <v>0.0</v>
      </c>
      <c r="BA312" s="219"/>
      <c r="BB312" s="219">
        <f t="shared" si="611"/>
        <v>1</v>
      </c>
      <c r="BC312" s="229"/>
      <c r="BD312" s="229" t="s">
        <v>124</v>
      </c>
      <c r="BE312" s="217"/>
      <c r="BF312" s="229" t="s">
        <v>469</v>
      </c>
      <c r="BG312" s="258">
        <v>0.0</v>
      </c>
      <c r="BH312" s="258">
        <v>2.0</v>
      </c>
      <c r="BI312" s="229" t="s">
        <v>493</v>
      </c>
      <c r="BJ312" s="229" t="s">
        <v>493</v>
      </c>
      <c r="BK312" s="229" t="s">
        <v>469</v>
      </c>
      <c r="BL312" s="229" t="s">
        <v>469</v>
      </c>
      <c r="BM312" s="258">
        <v>1.0</v>
      </c>
      <c r="BN312" s="258">
        <v>9.0</v>
      </c>
      <c r="BO312" s="258">
        <v>0.0</v>
      </c>
      <c r="BP312" s="258">
        <v>0.0</v>
      </c>
      <c r="BQ312" s="229"/>
      <c r="BR312" s="258">
        <v>5.0</v>
      </c>
      <c r="BS312" s="258">
        <v>0.0</v>
      </c>
      <c r="BT312" s="258">
        <v>0.0</v>
      </c>
      <c r="BU312" s="258">
        <v>37.0</v>
      </c>
      <c r="BV312" s="229" t="s">
        <v>469</v>
      </c>
      <c r="BW312" s="229"/>
      <c r="BX312" s="217"/>
      <c r="BY312" s="217"/>
      <c r="BZ312" s="217"/>
      <c r="CA312" s="217"/>
      <c r="CB312" s="217"/>
      <c r="CC312" s="229"/>
      <c r="CD312" s="217"/>
      <c r="CE312" s="217"/>
      <c r="CF312" s="217"/>
      <c r="CG312" s="217"/>
      <c r="CH312" s="217"/>
      <c r="CI312" s="229"/>
      <c r="CJ312" s="217"/>
      <c r="CK312" s="217"/>
      <c r="CL312" s="217"/>
      <c r="CM312" s="217"/>
      <c r="CN312" s="217"/>
      <c r="CO312" s="229"/>
      <c r="CP312" s="217"/>
      <c r="CQ312" s="217"/>
      <c r="CR312" s="217"/>
      <c r="CS312" s="217"/>
      <c r="CT312" s="217"/>
      <c r="CU312" s="229"/>
      <c r="CV312" s="217"/>
      <c r="CW312" s="217"/>
      <c r="CX312" s="217"/>
      <c r="CY312" s="217"/>
      <c r="CZ312" s="217"/>
      <c r="DA312" s="229"/>
      <c r="DB312" s="217"/>
      <c r="DC312" s="217"/>
      <c r="DD312" s="217"/>
      <c r="DE312" s="217"/>
      <c r="DF312" s="217"/>
      <c r="DG312" s="229"/>
      <c r="DH312" s="217"/>
      <c r="DI312" s="217"/>
      <c r="DJ312" s="217"/>
      <c r="DK312" s="217"/>
      <c r="DL312" s="217"/>
      <c r="DM312" s="229"/>
      <c r="DN312" s="217"/>
      <c r="DO312" s="217"/>
      <c r="DP312" s="217"/>
      <c r="DQ312" s="217"/>
      <c r="DR312" s="217"/>
      <c r="DS312" s="229"/>
      <c r="DT312" s="229"/>
      <c r="DU312" s="229"/>
      <c r="DV312" s="217"/>
      <c r="DW312" s="217"/>
      <c r="DX312" s="230"/>
      <c r="DY312" s="231"/>
      <c r="DZ312" s="231"/>
      <c r="EA312" s="230"/>
      <c r="EB312" s="232"/>
      <c r="EC312" s="217"/>
      <c r="ED312" s="233"/>
      <c r="EE312" s="234"/>
      <c r="EF312" s="235"/>
      <c r="EG312" s="233"/>
      <c r="EH312" s="236"/>
      <c r="EI312" s="217"/>
      <c r="EJ312" s="237"/>
      <c r="EK312" s="217"/>
      <c r="EL312" s="217"/>
      <c r="EM312" s="238"/>
      <c r="EN312" s="236"/>
      <c r="EO312" s="239"/>
      <c r="EP312" s="236"/>
      <c r="EQ312" s="217"/>
      <c r="ER312" s="217"/>
      <c r="ES312" s="236"/>
      <c r="ET312" s="236"/>
      <c r="EU312" s="236"/>
      <c r="EV312" s="239"/>
      <c r="EW312" s="236"/>
      <c r="EX312" s="217"/>
      <c r="EY312" s="240"/>
      <c r="EZ312" s="241"/>
      <c r="FA312" s="240"/>
      <c r="FB312" s="241"/>
      <c r="FC312" s="240"/>
      <c r="FD312" s="217"/>
      <c r="FE312" s="240"/>
      <c r="FF312" s="217"/>
      <c r="FG312" s="217"/>
      <c r="FH312" s="217"/>
      <c r="FI312" s="217"/>
      <c r="FJ312" s="217"/>
      <c r="FK312" s="240"/>
      <c r="FL312" s="217"/>
      <c r="FM312" s="240"/>
      <c r="FN312" s="217"/>
      <c r="FO312" s="240"/>
      <c r="FP312" s="217"/>
      <c r="FQ312" s="240"/>
      <c r="FR312" s="217"/>
      <c r="FS312" s="236"/>
      <c r="FT312" s="236"/>
      <c r="FU312" s="236"/>
      <c r="FV312" s="236"/>
      <c r="FW312" s="239"/>
      <c r="FX312" s="236"/>
      <c r="FY312" s="217"/>
      <c r="FZ312" s="240"/>
      <c r="GA312" s="217"/>
      <c r="GB312" s="242"/>
      <c r="GC312" s="217"/>
      <c r="GD312" s="240"/>
      <c r="GE312" s="240"/>
      <c r="GF312" s="240"/>
      <c r="GG312" s="240"/>
      <c r="GH312" s="240"/>
      <c r="GI312" s="217"/>
      <c r="GJ312" s="217"/>
      <c r="GK312" s="239"/>
      <c r="GL312" s="243"/>
    </row>
    <row r="313" ht="15.75" customHeight="1">
      <c r="A313" s="229" t="s">
        <v>1128</v>
      </c>
      <c r="B313" s="258">
        <v>1801405.0</v>
      </c>
      <c r="C313" s="259" t="s">
        <v>1812</v>
      </c>
      <c r="D313" s="260">
        <v>43859.71805555555</v>
      </c>
      <c r="E313" s="229" t="s">
        <v>381</v>
      </c>
      <c r="F313" s="261" t="s">
        <v>1813</v>
      </c>
      <c r="G313" s="261" t="s">
        <v>1814</v>
      </c>
      <c r="H313" s="262">
        <v>43858.0</v>
      </c>
      <c r="I313" s="259" t="s">
        <v>1815</v>
      </c>
      <c r="J313" s="259" t="s">
        <v>1812</v>
      </c>
      <c r="K313" s="229" t="s">
        <v>496</v>
      </c>
      <c r="L313" s="229" t="s">
        <v>390</v>
      </c>
      <c r="M313" s="229" t="s">
        <v>31</v>
      </c>
      <c r="N313" s="229" t="s">
        <v>32</v>
      </c>
      <c r="O313" s="229" t="s">
        <v>35</v>
      </c>
      <c r="P313" s="217"/>
      <c r="Q313" s="229" t="s">
        <v>157</v>
      </c>
      <c r="R313" s="263">
        <v>1.15</v>
      </c>
      <c r="S313" s="246"/>
      <c r="T313" s="220"/>
      <c r="U313" s="220"/>
      <c r="V313" s="221"/>
      <c r="W313" s="220"/>
      <c r="X313" s="222"/>
      <c r="Y313" s="222"/>
      <c r="Z313" s="229" t="s">
        <v>36</v>
      </c>
      <c r="AA313" s="229" t="s">
        <v>123</v>
      </c>
      <c r="AB313" s="229" t="s">
        <v>38</v>
      </c>
      <c r="AC313" s="229" t="s">
        <v>469</v>
      </c>
      <c r="AD313" s="229" t="s">
        <v>39</v>
      </c>
      <c r="AE313" s="229" t="s">
        <v>39</v>
      </c>
      <c r="AF313" s="229" t="s">
        <v>469</v>
      </c>
      <c r="AG313" s="264">
        <v>1.1321E10</v>
      </c>
      <c r="AH313" s="224" t="str">
        <f t="shared" si="609"/>
        <v>$10B-$25B</v>
      </c>
      <c r="AI313" s="264">
        <v>1.24531E9</v>
      </c>
      <c r="AJ313" s="224" t="str">
        <f t="shared" si="610"/>
        <v>$1B-$5B</v>
      </c>
      <c r="AK313" s="237">
        <v>0.0</v>
      </c>
      <c r="AL313" s="258"/>
      <c r="AM313" s="258">
        <v>877.0</v>
      </c>
      <c r="AN313" s="229" t="s">
        <v>89</v>
      </c>
      <c r="AO313" s="229" t="s">
        <v>89</v>
      </c>
      <c r="AP313" s="229" t="s">
        <v>40</v>
      </c>
      <c r="AQ313" s="259"/>
      <c r="AR313" s="259"/>
      <c r="AS313" s="229" t="s">
        <v>469</v>
      </c>
      <c r="AT313" s="229" t="s">
        <v>469</v>
      </c>
      <c r="AU313" s="229" t="s">
        <v>469</v>
      </c>
      <c r="AV313" s="229" t="s">
        <v>469</v>
      </c>
      <c r="AW313" s="264">
        <v>0.0</v>
      </c>
      <c r="AX313" s="264"/>
      <c r="AY313" s="264">
        <v>302.0</v>
      </c>
      <c r="AZ313" s="264">
        <v>15000.0</v>
      </c>
      <c r="BA313" s="219"/>
      <c r="BB313" s="219">
        <f t="shared" si="611"/>
        <v>0.02013333333</v>
      </c>
      <c r="BC313" s="229"/>
      <c r="BD313" s="229" t="s">
        <v>41</v>
      </c>
      <c r="BE313" s="217"/>
      <c r="BF313" s="229" t="s">
        <v>469</v>
      </c>
      <c r="BG313" s="258">
        <v>0.0</v>
      </c>
      <c r="BH313" s="258">
        <v>1.0</v>
      </c>
      <c r="BI313" s="229" t="s">
        <v>493</v>
      </c>
      <c r="BJ313" s="229" t="s">
        <v>469</v>
      </c>
      <c r="BK313" s="229" t="s">
        <v>469</v>
      </c>
      <c r="BL313" s="229" t="s">
        <v>469</v>
      </c>
      <c r="BM313" s="258">
        <v>1.0</v>
      </c>
      <c r="BN313" s="258">
        <v>1.0</v>
      </c>
      <c r="BO313" s="258">
        <v>0.0</v>
      </c>
      <c r="BP313" s="258">
        <v>0.0</v>
      </c>
      <c r="BQ313" s="229"/>
      <c r="BR313" s="258">
        <v>16.0</v>
      </c>
      <c r="BS313" s="258">
        <v>1.0</v>
      </c>
      <c r="BT313" s="258">
        <v>0.0</v>
      </c>
      <c r="BU313" s="258">
        <v>38.0</v>
      </c>
      <c r="BV313" s="229" t="s">
        <v>469</v>
      </c>
      <c r="BW313" s="229"/>
      <c r="BX313" s="217"/>
      <c r="BY313" s="217"/>
      <c r="BZ313" s="217"/>
      <c r="CA313" s="217"/>
      <c r="CB313" s="217"/>
      <c r="CC313" s="229"/>
      <c r="CD313" s="217"/>
      <c r="CE313" s="217"/>
      <c r="CF313" s="217"/>
      <c r="CG313" s="217"/>
      <c r="CH313" s="217"/>
      <c r="CI313" s="229"/>
      <c r="CJ313" s="217"/>
      <c r="CK313" s="217"/>
      <c r="CL313" s="217"/>
      <c r="CM313" s="217"/>
      <c r="CN313" s="217"/>
      <c r="CO313" s="229"/>
      <c r="CP313" s="217"/>
      <c r="CQ313" s="217"/>
      <c r="CR313" s="217"/>
      <c r="CS313" s="217"/>
      <c r="CT313" s="217"/>
      <c r="CU313" s="229"/>
      <c r="CV313" s="217"/>
      <c r="CW313" s="217"/>
      <c r="CX313" s="217"/>
      <c r="CY313" s="217"/>
      <c r="CZ313" s="217"/>
      <c r="DA313" s="229"/>
      <c r="DB313" s="217"/>
      <c r="DC313" s="217"/>
      <c r="DD313" s="217"/>
      <c r="DE313" s="217"/>
      <c r="DF313" s="217"/>
      <c r="DG313" s="229"/>
      <c r="DH313" s="217"/>
      <c r="DI313" s="217"/>
      <c r="DJ313" s="217"/>
      <c r="DK313" s="217"/>
      <c r="DL313" s="217"/>
      <c r="DM313" s="229"/>
      <c r="DN313" s="217"/>
      <c r="DO313" s="217"/>
      <c r="DP313" s="217"/>
      <c r="DQ313" s="217"/>
      <c r="DR313" s="217"/>
      <c r="DS313" s="229"/>
      <c r="DT313" s="229"/>
      <c r="DU313" s="229"/>
      <c r="DV313" s="217"/>
      <c r="DW313" s="217"/>
      <c r="DX313" s="230"/>
      <c r="DY313" s="231"/>
      <c r="DZ313" s="231"/>
      <c r="EA313" s="230"/>
      <c r="EB313" s="232"/>
      <c r="EC313" s="217"/>
      <c r="ED313" s="233"/>
      <c r="EE313" s="234"/>
      <c r="EF313" s="233"/>
      <c r="EG313" s="235"/>
      <c r="EH313" s="236"/>
      <c r="EI313" s="217"/>
      <c r="EJ313" s="237"/>
      <c r="EK313" s="217"/>
      <c r="EL313" s="217"/>
      <c r="EM313" s="238"/>
      <c r="EN313" s="236"/>
      <c r="EO313" s="239"/>
      <c r="EP313" s="236"/>
      <c r="EQ313" s="217"/>
      <c r="ER313" s="217"/>
      <c r="ES313" s="236"/>
      <c r="ET313" s="236"/>
      <c r="EU313" s="236"/>
      <c r="EV313" s="239"/>
      <c r="EW313" s="236"/>
      <c r="EX313" s="217"/>
      <c r="EY313" s="240"/>
      <c r="EZ313" s="241"/>
      <c r="FA313" s="240"/>
      <c r="FB313" s="241"/>
      <c r="FC313" s="240"/>
      <c r="FD313" s="217"/>
      <c r="FE313" s="240"/>
      <c r="FF313" s="217"/>
      <c r="FG313" s="217"/>
      <c r="FH313" s="217"/>
      <c r="FI313" s="217"/>
      <c r="FJ313" s="217"/>
      <c r="FK313" s="240"/>
      <c r="FL313" s="217"/>
      <c r="FM313" s="240"/>
      <c r="FN313" s="217"/>
      <c r="FO313" s="240"/>
      <c r="FP313" s="217"/>
      <c r="FQ313" s="240"/>
      <c r="FR313" s="217"/>
      <c r="FS313" s="236"/>
      <c r="FT313" s="236"/>
      <c r="FU313" s="236"/>
      <c r="FV313" s="236"/>
      <c r="FW313" s="239"/>
      <c r="FX313" s="236"/>
      <c r="FY313" s="217"/>
      <c r="FZ313" s="240"/>
      <c r="GA313" s="217"/>
      <c r="GB313" s="242"/>
      <c r="GC313" s="217"/>
      <c r="GD313" s="240"/>
      <c r="GE313" s="240"/>
      <c r="GF313" s="240"/>
      <c r="GG313" s="240"/>
      <c r="GH313" s="240"/>
      <c r="GI313" s="217"/>
      <c r="GJ313" s="217"/>
      <c r="GK313" s="239"/>
      <c r="GL313" s="243"/>
    </row>
    <row r="314" ht="15.75" customHeight="1">
      <c r="A314" s="229" t="s">
        <v>1128</v>
      </c>
      <c r="B314" s="258">
        <v>1801534.0</v>
      </c>
      <c r="C314" s="259" t="s">
        <v>1816</v>
      </c>
      <c r="D314" s="260">
        <v>43866.70625</v>
      </c>
      <c r="E314" s="229" t="s">
        <v>325</v>
      </c>
      <c r="F314" s="261" t="s">
        <v>1817</v>
      </c>
      <c r="G314" s="261" t="s">
        <v>1818</v>
      </c>
      <c r="H314" s="262">
        <v>43866.0</v>
      </c>
      <c r="I314" s="259" t="s">
        <v>1819</v>
      </c>
      <c r="J314" s="259" t="s">
        <v>1816</v>
      </c>
      <c r="K314" s="229" t="s">
        <v>448</v>
      </c>
      <c r="L314" s="229" t="s">
        <v>390</v>
      </c>
      <c r="M314" s="229" t="s">
        <v>31</v>
      </c>
      <c r="N314" s="229" t="s">
        <v>82</v>
      </c>
      <c r="O314" s="229" t="s">
        <v>35</v>
      </c>
      <c r="P314" s="217"/>
      <c r="Q314" s="229" t="s">
        <v>169</v>
      </c>
      <c r="R314" s="263">
        <v>1.25</v>
      </c>
      <c r="S314" s="246"/>
      <c r="T314" s="220"/>
      <c r="U314" s="220"/>
      <c r="V314" s="221"/>
      <c r="W314" s="220"/>
      <c r="X314" s="222"/>
      <c r="Y314" s="222"/>
      <c r="Z314" s="229" t="s">
        <v>36</v>
      </c>
      <c r="AA314" s="229" t="s">
        <v>123</v>
      </c>
      <c r="AB314" s="229" t="s">
        <v>38</v>
      </c>
      <c r="AC314" s="229" t="s">
        <v>493</v>
      </c>
      <c r="AD314" s="229" t="s">
        <v>89</v>
      </c>
      <c r="AE314" s="229" t="s">
        <v>89</v>
      </c>
      <c r="AF314" s="229" t="s">
        <v>469</v>
      </c>
      <c r="AG314" s="264">
        <v>1.395E11</v>
      </c>
      <c r="AH314" s="224" t="str">
        <f t="shared" si="609"/>
        <v>$100B-$250B</v>
      </c>
      <c r="AI314" s="264">
        <v>1.395E11</v>
      </c>
      <c r="AJ314" s="224" t="str">
        <f t="shared" si="610"/>
        <v>$100B-$250B</v>
      </c>
      <c r="AK314" s="237">
        <v>0.05</v>
      </c>
      <c r="AL314" s="258"/>
      <c r="AM314" s="258">
        <v>7363.0</v>
      </c>
      <c r="AN314" s="229" t="s">
        <v>89</v>
      </c>
      <c r="AO314" s="229" t="s">
        <v>89</v>
      </c>
      <c r="AP314" s="229" t="s">
        <v>40</v>
      </c>
      <c r="AQ314" s="259"/>
      <c r="AR314" s="259"/>
      <c r="AS314" s="229" t="s">
        <v>469</v>
      </c>
      <c r="AT314" s="229" t="s">
        <v>469</v>
      </c>
      <c r="AU314" s="229" t="s">
        <v>493</v>
      </c>
      <c r="AV314" s="229" t="s">
        <v>493</v>
      </c>
      <c r="AW314" s="264">
        <v>84226.0</v>
      </c>
      <c r="AX314" s="264"/>
      <c r="AY314" s="264">
        <v>35.0</v>
      </c>
      <c r="AZ314" s="264">
        <v>0.0</v>
      </c>
      <c r="BA314" s="219"/>
      <c r="BB314" s="219">
        <f t="shared" si="611"/>
        <v>1</v>
      </c>
      <c r="BC314" s="229"/>
      <c r="BD314" s="229" t="s">
        <v>107</v>
      </c>
      <c r="BE314" s="217"/>
      <c r="BF314" s="229" t="s">
        <v>469</v>
      </c>
      <c r="BG314" s="258">
        <v>0.0</v>
      </c>
      <c r="BH314" s="258">
        <v>1.0</v>
      </c>
      <c r="BI314" s="229" t="s">
        <v>493</v>
      </c>
      <c r="BJ314" s="229" t="s">
        <v>469</v>
      </c>
      <c r="BK314" s="229" t="s">
        <v>469</v>
      </c>
      <c r="BL314" s="229" t="s">
        <v>469</v>
      </c>
      <c r="BM314" s="258">
        <v>0.0</v>
      </c>
      <c r="BN314" s="258">
        <v>1.0</v>
      </c>
      <c r="BO314" s="258">
        <v>0.0</v>
      </c>
      <c r="BP314" s="258">
        <v>0.0</v>
      </c>
      <c r="BQ314" s="229"/>
      <c r="BR314" s="258">
        <v>8.0</v>
      </c>
      <c r="BS314" s="258">
        <v>0.0</v>
      </c>
      <c r="BT314" s="258">
        <v>0.0</v>
      </c>
      <c r="BU314" s="258">
        <v>42.0</v>
      </c>
      <c r="BV314" s="229" t="s">
        <v>469</v>
      </c>
      <c r="BW314" s="229"/>
      <c r="BX314" s="217"/>
      <c r="BY314" s="217"/>
      <c r="BZ314" s="217"/>
      <c r="CA314" s="217"/>
      <c r="CB314" s="217"/>
      <c r="CC314" s="229"/>
      <c r="CD314" s="217"/>
      <c r="CE314" s="217"/>
      <c r="CF314" s="217"/>
      <c r="CG314" s="217"/>
      <c r="CH314" s="217"/>
      <c r="CI314" s="229"/>
      <c r="CJ314" s="217"/>
      <c r="CK314" s="217"/>
      <c r="CL314" s="217"/>
      <c r="CM314" s="217"/>
      <c r="CN314" s="217"/>
      <c r="CO314" s="229"/>
      <c r="CP314" s="217"/>
      <c r="CQ314" s="217"/>
      <c r="CR314" s="217"/>
      <c r="CS314" s="217"/>
      <c r="CT314" s="217"/>
      <c r="CU314" s="229"/>
      <c r="CV314" s="217"/>
      <c r="CW314" s="217"/>
      <c r="CX314" s="217"/>
      <c r="CY314" s="217"/>
      <c r="CZ314" s="217"/>
      <c r="DA314" s="229"/>
      <c r="DB314" s="217"/>
      <c r="DC314" s="217"/>
      <c r="DD314" s="217"/>
      <c r="DE314" s="217"/>
      <c r="DF314" s="217"/>
      <c r="DG314" s="229"/>
      <c r="DH314" s="217"/>
      <c r="DI314" s="217"/>
      <c r="DJ314" s="217"/>
      <c r="DK314" s="217"/>
      <c r="DL314" s="217"/>
      <c r="DM314" s="229"/>
      <c r="DN314" s="217"/>
      <c r="DO314" s="217"/>
      <c r="DP314" s="217"/>
      <c r="DQ314" s="217"/>
      <c r="DR314" s="217"/>
      <c r="DS314" s="229"/>
      <c r="DT314" s="229"/>
      <c r="DU314" s="229"/>
      <c r="DV314" s="217"/>
      <c r="DW314" s="217"/>
      <c r="DX314" s="230"/>
      <c r="DY314" s="231"/>
      <c r="DZ314" s="231"/>
      <c r="EA314" s="230"/>
      <c r="EB314" s="232"/>
      <c r="EC314" s="217"/>
      <c r="ED314" s="233"/>
      <c r="EE314" s="234"/>
      <c r="EF314" s="233"/>
      <c r="EG314" s="235"/>
      <c r="EH314" s="236"/>
      <c r="EI314" s="217"/>
      <c r="EJ314" s="237"/>
      <c r="EK314" s="217"/>
      <c r="EL314" s="217"/>
      <c r="EM314" s="238"/>
      <c r="EN314" s="236"/>
      <c r="EO314" s="239"/>
      <c r="EP314" s="236"/>
      <c r="EQ314" s="217"/>
      <c r="ER314" s="217"/>
      <c r="ES314" s="236"/>
      <c r="ET314" s="236"/>
      <c r="EU314" s="236"/>
      <c r="EV314" s="239"/>
      <c r="EW314" s="236"/>
      <c r="EX314" s="217"/>
      <c r="EY314" s="240"/>
      <c r="EZ314" s="241"/>
      <c r="FA314" s="240"/>
      <c r="FB314" s="241"/>
      <c r="FC314" s="240"/>
      <c r="FD314" s="217"/>
      <c r="FE314" s="240"/>
      <c r="FF314" s="217"/>
      <c r="FG314" s="217"/>
      <c r="FH314" s="217"/>
      <c r="FI314" s="217"/>
      <c r="FJ314" s="217"/>
      <c r="FK314" s="240"/>
      <c r="FL314" s="217"/>
      <c r="FM314" s="240"/>
      <c r="FN314" s="217"/>
      <c r="FO314" s="240"/>
      <c r="FP314" s="217"/>
      <c r="FQ314" s="240"/>
      <c r="FR314" s="217"/>
      <c r="FS314" s="236"/>
      <c r="FT314" s="236"/>
      <c r="FU314" s="236"/>
      <c r="FV314" s="236"/>
      <c r="FW314" s="239"/>
      <c r="FX314" s="236"/>
      <c r="FY314" s="217"/>
      <c r="FZ314" s="240"/>
      <c r="GA314" s="217"/>
      <c r="GB314" s="242"/>
      <c r="GC314" s="217"/>
      <c r="GD314" s="240"/>
      <c r="GE314" s="240"/>
      <c r="GF314" s="240"/>
      <c r="GG314" s="240"/>
      <c r="GH314" s="240"/>
      <c r="GI314" s="217"/>
      <c r="GJ314" s="217"/>
      <c r="GK314" s="239"/>
      <c r="GL314" s="243"/>
    </row>
    <row r="315" ht="15.75" customHeight="1">
      <c r="A315" s="229" t="s">
        <v>1128</v>
      </c>
      <c r="B315" s="258">
        <v>1799484.0</v>
      </c>
      <c r="C315" s="259" t="s">
        <v>1820</v>
      </c>
      <c r="D315" s="260">
        <v>43874.50486111111</v>
      </c>
      <c r="E315" s="229" t="s">
        <v>325</v>
      </c>
      <c r="F315" s="261" t="s">
        <v>1821</v>
      </c>
      <c r="G315" s="261" t="s">
        <v>1822</v>
      </c>
      <c r="H315" s="262">
        <v>43874.0</v>
      </c>
      <c r="I315" s="259" t="s">
        <v>1823</v>
      </c>
      <c r="J315" s="259" t="s">
        <v>1824</v>
      </c>
      <c r="K315" s="229" t="s">
        <v>529</v>
      </c>
      <c r="L315" s="229" t="s">
        <v>390</v>
      </c>
      <c r="M315" s="229" t="s">
        <v>81</v>
      </c>
      <c r="N315" s="229" t="s">
        <v>101</v>
      </c>
      <c r="O315" s="229" t="s">
        <v>35</v>
      </c>
      <c r="P315" s="217"/>
      <c r="Q315" s="229" t="s">
        <v>169</v>
      </c>
      <c r="R315" s="263">
        <v>1.3</v>
      </c>
      <c r="S315" s="246"/>
      <c r="T315" s="220"/>
      <c r="U315" s="220"/>
      <c r="V315" s="221"/>
      <c r="W315" s="220"/>
      <c r="X315" s="222"/>
      <c r="Y315" s="222"/>
      <c r="Z315" s="229" t="s">
        <v>36</v>
      </c>
      <c r="AA315" s="229" t="s">
        <v>87</v>
      </c>
      <c r="AB315" s="229" t="s">
        <v>38</v>
      </c>
      <c r="AC315" s="229" t="s">
        <v>493</v>
      </c>
      <c r="AD315" s="229" t="s">
        <v>89</v>
      </c>
      <c r="AE315" s="229" t="s">
        <v>89</v>
      </c>
      <c r="AF315" s="229" t="s">
        <v>469</v>
      </c>
      <c r="AG315" s="264">
        <v>1.2E10</v>
      </c>
      <c r="AH315" s="224" t="str">
        <f t="shared" si="609"/>
        <v>$10B-$25B</v>
      </c>
      <c r="AI315" s="264">
        <v>1.2E10</v>
      </c>
      <c r="AJ315" s="224" t="str">
        <f t="shared" si="610"/>
        <v>$10B-$25B</v>
      </c>
      <c r="AK315" s="237">
        <v>0.08</v>
      </c>
      <c r="AL315" s="258"/>
      <c r="AM315" s="258">
        <v>12.0</v>
      </c>
      <c r="AN315" s="229" t="s">
        <v>89</v>
      </c>
      <c r="AO315" s="229" t="s">
        <v>89</v>
      </c>
      <c r="AP315" s="229" t="s">
        <v>40</v>
      </c>
      <c r="AQ315" s="259"/>
      <c r="AR315" s="259"/>
      <c r="AS315" s="229" t="s">
        <v>469</v>
      </c>
      <c r="AT315" s="229" t="s">
        <v>469</v>
      </c>
      <c r="AU315" s="229" t="s">
        <v>493</v>
      </c>
      <c r="AV315" s="229" t="s">
        <v>493</v>
      </c>
      <c r="AW315" s="264">
        <v>1445022.0</v>
      </c>
      <c r="AX315" s="264"/>
      <c r="AY315" s="264">
        <v>2843.0</v>
      </c>
      <c r="AZ315" s="264">
        <v>0.0</v>
      </c>
      <c r="BA315" s="219"/>
      <c r="BB315" s="219">
        <f t="shared" si="611"/>
        <v>1</v>
      </c>
      <c r="BC315" s="229"/>
      <c r="BD315" s="229" t="s">
        <v>124</v>
      </c>
      <c r="BE315" s="217"/>
      <c r="BF315" s="229" t="s">
        <v>493</v>
      </c>
      <c r="BG315" s="258">
        <v>0.0</v>
      </c>
      <c r="BH315" s="258">
        <v>1.0</v>
      </c>
      <c r="BI315" s="229" t="s">
        <v>493</v>
      </c>
      <c r="BJ315" s="229" t="s">
        <v>469</v>
      </c>
      <c r="BK315" s="229" t="s">
        <v>469</v>
      </c>
      <c r="BL315" s="229" t="s">
        <v>469</v>
      </c>
      <c r="BM315" s="258">
        <v>1.0</v>
      </c>
      <c r="BN315" s="258">
        <v>40.0</v>
      </c>
      <c r="BO315" s="258">
        <v>0.0</v>
      </c>
      <c r="BP315" s="258">
        <v>0.0</v>
      </c>
      <c r="BQ315" s="229"/>
      <c r="BR315" s="258">
        <v>7.0</v>
      </c>
      <c r="BS315" s="258">
        <v>0.0</v>
      </c>
      <c r="BT315" s="258">
        <v>0.0</v>
      </c>
      <c r="BU315" s="258">
        <v>52.0</v>
      </c>
      <c r="BV315" s="229" t="s">
        <v>469</v>
      </c>
      <c r="BW315" s="229"/>
      <c r="BX315" s="217"/>
      <c r="BY315" s="217"/>
      <c r="BZ315" s="217"/>
      <c r="CA315" s="217"/>
      <c r="CB315" s="217"/>
      <c r="CC315" s="229"/>
      <c r="CD315" s="217"/>
      <c r="CE315" s="217"/>
      <c r="CF315" s="217"/>
      <c r="CG315" s="217"/>
      <c r="CH315" s="217"/>
      <c r="CI315" s="229"/>
      <c r="CJ315" s="217"/>
      <c r="CK315" s="217"/>
      <c r="CL315" s="217"/>
      <c r="CM315" s="217"/>
      <c r="CN315" s="217"/>
      <c r="CO315" s="229"/>
      <c r="CP315" s="217"/>
      <c r="CQ315" s="217"/>
      <c r="CR315" s="217"/>
      <c r="CS315" s="217"/>
      <c r="CT315" s="217"/>
      <c r="CU315" s="229"/>
      <c r="CV315" s="217"/>
      <c r="CW315" s="217"/>
      <c r="CX315" s="217"/>
      <c r="CY315" s="217"/>
      <c r="CZ315" s="217"/>
      <c r="DA315" s="229"/>
      <c r="DB315" s="217"/>
      <c r="DC315" s="217"/>
      <c r="DD315" s="217"/>
      <c r="DE315" s="217"/>
      <c r="DF315" s="217"/>
      <c r="DG315" s="229"/>
      <c r="DH315" s="217"/>
      <c r="DI315" s="217"/>
      <c r="DJ315" s="217"/>
      <c r="DK315" s="217"/>
      <c r="DL315" s="217"/>
      <c r="DM315" s="229"/>
      <c r="DN315" s="217"/>
      <c r="DO315" s="217"/>
      <c r="DP315" s="217"/>
      <c r="DQ315" s="217"/>
      <c r="DR315" s="217"/>
      <c r="DS315" s="229"/>
      <c r="DT315" s="229"/>
      <c r="DU315" s="229"/>
      <c r="DV315" s="217"/>
      <c r="DW315" s="217"/>
      <c r="DX315" s="230"/>
      <c r="DY315" s="231"/>
      <c r="DZ315" s="231"/>
      <c r="EA315" s="230"/>
      <c r="EB315" s="232"/>
      <c r="EC315" s="217"/>
      <c r="ED315" s="233"/>
      <c r="EE315" s="234"/>
      <c r="EF315" s="233"/>
      <c r="EG315" s="235"/>
      <c r="EH315" s="236"/>
      <c r="EI315" s="217"/>
      <c r="EJ315" s="237"/>
      <c r="EK315" s="217"/>
      <c r="EL315" s="217"/>
      <c r="EM315" s="238"/>
      <c r="EN315" s="236"/>
      <c r="EO315" s="239"/>
      <c r="EP315" s="236"/>
      <c r="EQ315" s="217"/>
      <c r="ER315" s="217"/>
      <c r="ES315" s="236"/>
      <c r="ET315" s="236"/>
      <c r="EU315" s="236"/>
      <c r="EV315" s="239"/>
      <c r="EW315" s="236"/>
      <c r="EX315" s="217"/>
      <c r="EY315" s="240"/>
      <c r="EZ315" s="241"/>
      <c r="FA315" s="240"/>
      <c r="FB315" s="241"/>
      <c r="FC315" s="240"/>
      <c r="FD315" s="217"/>
      <c r="FE315" s="240"/>
      <c r="FF315" s="217"/>
      <c r="FG315" s="217"/>
      <c r="FH315" s="217"/>
      <c r="FI315" s="217"/>
      <c r="FJ315" s="217"/>
      <c r="FK315" s="240"/>
      <c r="FL315" s="217"/>
      <c r="FM315" s="240"/>
      <c r="FN315" s="217"/>
      <c r="FO315" s="240"/>
      <c r="FP315" s="217"/>
      <c r="FQ315" s="240"/>
      <c r="FR315" s="217"/>
      <c r="FS315" s="236"/>
      <c r="FT315" s="236"/>
      <c r="FU315" s="236"/>
      <c r="FV315" s="236"/>
      <c r="FW315" s="239"/>
      <c r="FX315" s="236"/>
      <c r="FY315" s="217"/>
      <c r="FZ315" s="240"/>
      <c r="GA315" s="217"/>
      <c r="GB315" s="242"/>
      <c r="GC315" s="217"/>
      <c r="GD315" s="240"/>
      <c r="GE315" s="240"/>
      <c r="GF315" s="240"/>
      <c r="GG315" s="240"/>
      <c r="GH315" s="240"/>
      <c r="GI315" s="217"/>
      <c r="GJ315" s="217"/>
      <c r="GK315" s="239"/>
      <c r="GL315" s="243"/>
    </row>
    <row r="316" ht="15.75" customHeight="1">
      <c r="A316" s="229" t="s">
        <v>1128</v>
      </c>
      <c r="B316" s="258">
        <v>1800828.0</v>
      </c>
      <c r="C316" s="259" t="s">
        <v>1825</v>
      </c>
      <c r="D316" s="260">
        <v>43892.48402777778</v>
      </c>
      <c r="E316" s="229" t="s">
        <v>392</v>
      </c>
      <c r="F316" s="261" t="s">
        <v>1826</v>
      </c>
      <c r="G316" s="261" t="s">
        <v>1827</v>
      </c>
      <c r="H316" s="262">
        <v>43860.0</v>
      </c>
      <c r="I316" s="259" t="s">
        <v>1828</v>
      </c>
      <c r="J316" s="259" t="s">
        <v>1825</v>
      </c>
      <c r="K316" s="229" t="s">
        <v>496</v>
      </c>
      <c r="L316" s="229" t="s">
        <v>390</v>
      </c>
      <c r="M316" s="229" t="s">
        <v>31</v>
      </c>
      <c r="N316" s="229" t="s">
        <v>32</v>
      </c>
      <c r="O316" s="229" t="s">
        <v>35</v>
      </c>
      <c r="P316" s="217"/>
      <c r="Q316" s="229" t="s">
        <v>169</v>
      </c>
      <c r="R316" s="263">
        <v>1.25</v>
      </c>
      <c r="S316" s="246"/>
      <c r="T316" s="220"/>
      <c r="U316" s="220"/>
      <c r="V316" s="221"/>
      <c r="W316" s="220"/>
      <c r="X316" s="222"/>
      <c r="Y316" s="222"/>
      <c r="Z316" s="229" t="s">
        <v>36</v>
      </c>
      <c r="AA316" s="229" t="s">
        <v>123</v>
      </c>
      <c r="AB316" s="229" t="s">
        <v>38</v>
      </c>
      <c r="AC316" s="229" t="s">
        <v>469</v>
      </c>
      <c r="AD316" s="229" t="s">
        <v>39</v>
      </c>
      <c r="AE316" s="229" t="s">
        <v>39</v>
      </c>
      <c r="AF316" s="229" t="s">
        <v>469</v>
      </c>
      <c r="AG316" s="264">
        <v>1.1321E10</v>
      </c>
      <c r="AH316" s="224" t="str">
        <f t="shared" si="609"/>
        <v>$10B-$25B</v>
      </c>
      <c r="AI316" s="264">
        <v>1.24531E9</v>
      </c>
      <c r="AJ316" s="224" t="str">
        <f t="shared" si="610"/>
        <v>$1B-$5B</v>
      </c>
      <c r="AK316" s="237">
        <v>0.0</v>
      </c>
      <c r="AL316" s="258"/>
      <c r="AM316" s="258">
        <v>877.0</v>
      </c>
      <c r="AN316" s="229" t="s">
        <v>89</v>
      </c>
      <c r="AO316" s="229" t="s">
        <v>89</v>
      </c>
      <c r="AP316" s="229" t="s">
        <v>40</v>
      </c>
      <c r="AQ316" s="259"/>
      <c r="AR316" s="259"/>
      <c r="AS316" s="229" t="s">
        <v>469</v>
      </c>
      <c r="AT316" s="229" t="s">
        <v>469</v>
      </c>
      <c r="AU316" s="229" t="s">
        <v>469</v>
      </c>
      <c r="AV316" s="229" t="s">
        <v>469</v>
      </c>
      <c r="AW316" s="264">
        <v>0.0</v>
      </c>
      <c r="AX316" s="264"/>
      <c r="AY316" s="264">
        <v>741.0</v>
      </c>
      <c r="AZ316" s="264">
        <v>0.0</v>
      </c>
      <c r="BA316" s="219"/>
      <c r="BB316" s="219">
        <f t="shared" si="611"/>
        <v>1</v>
      </c>
      <c r="BC316" s="229"/>
      <c r="BD316" s="229" t="s">
        <v>41</v>
      </c>
      <c r="BE316" s="217"/>
      <c r="BF316" s="229" t="s">
        <v>469</v>
      </c>
      <c r="BG316" s="258">
        <v>0.0</v>
      </c>
      <c r="BH316" s="258">
        <v>1.0</v>
      </c>
      <c r="BI316" s="229" t="s">
        <v>493</v>
      </c>
      <c r="BJ316" s="229" t="s">
        <v>469</v>
      </c>
      <c r="BK316" s="229" t="s">
        <v>469</v>
      </c>
      <c r="BL316" s="229" t="s">
        <v>469</v>
      </c>
      <c r="BM316" s="258">
        <v>0.0</v>
      </c>
      <c r="BN316" s="258">
        <v>1.0</v>
      </c>
      <c r="BO316" s="258">
        <v>0.0</v>
      </c>
      <c r="BP316" s="258">
        <v>0.0</v>
      </c>
      <c r="BQ316" s="229"/>
      <c r="BR316" s="258">
        <v>11.0</v>
      </c>
      <c r="BS316" s="258">
        <v>0.0</v>
      </c>
      <c r="BT316" s="258">
        <v>0.0</v>
      </c>
      <c r="BU316" s="258">
        <v>31.0</v>
      </c>
      <c r="BV316" s="229" t="s">
        <v>469</v>
      </c>
      <c r="BW316" s="229"/>
      <c r="BX316" s="217"/>
      <c r="BY316" s="217"/>
      <c r="BZ316" s="217"/>
      <c r="CA316" s="217"/>
      <c r="CB316" s="217"/>
      <c r="CC316" s="229"/>
      <c r="CD316" s="217"/>
      <c r="CE316" s="217"/>
      <c r="CF316" s="217"/>
      <c r="CG316" s="217"/>
      <c r="CH316" s="217"/>
      <c r="CI316" s="229"/>
      <c r="CJ316" s="217"/>
      <c r="CK316" s="217"/>
      <c r="CL316" s="217"/>
      <c r="CM316" s="217"/>
      <c r="CN316" s="217"/>
      <c r="CO316" s="229"/>
      <c r="CP316" s="217"/>
      <c r="CQ316" s="217"/>
      <c r="CR316" s="217"/>
      <c r="CS316" s="217"/>
      <c r="CT316" s="217"/>
      <c r="CU316" s="229"/>
      <c r="CV316" s="217"/>
      <c r="CW316" s="217"/>
      <c r="CX316" s="217"/>
      <c r="CY316" s="217"/>
      <c r="CZ316" s="217"/>
      <c r="DA316" s="229"/>
      <c r="DB316" s="217"/>
      <c r="DC316" s="217"/>
      <c r="DD316" s="217"/>
      <c r="DE316" s="217"/>
      <c r="DF316" s="217"/>
      <c r="DG316" s="229"/>
      <c r="DH316" s="217"/>
      <c r="DI316" s="217"/>
      <c r="DJ316" s="217"/>
      <c r="DK316" s="217"/>
      <c r="DL316" s="217"/>
      <c r="DM316" s="229"/>
      <c r="DN316" s="217"/>
      <c r="DO316" s="217"/>
      <c r="DP316" s="217"/>
      <c r="DQ316" s="217"/>
      <c r="DR316" s="217"/>
      <c r="DS316" s="229"/>
      <c r="DT316" s="229"/>
      <c r="DU316" s="229"/>
      <c r="DV316" s="217"/>
      <c r="DW316" s="217"/>
      <c r="DX316" s="230"/>
      <c r="DY316" s="231"/>
      <c r="DZ316" s="231"/>
      <c r="EA316" s="230"/>
      <c r="EB316" s="232"/>
      <c r="EC316" s="217"/>
      <c r="ED316" s="233"/>
      <c r="EE316" s="234"/>
      <c r="EF316" s="233"/>
      <c r="EG316" s="235"/>
      <c r="EH316" s="236"/>
      <c r="EI316" s="217"/>
      <c r="EJ316" s="237"/>
      <c r="EK316" s="217"/>
      <c r="EL316" s="217"/>
      <c r="EM316" s="238"/>
      <c r="EN316" s="236"/>
      <c r="EO316" s="239"/>
      <c r="EP316" s="236"/>
      <c r="EQ316" s="217"/>
      <c r="ER316" s="217"/>
      <c r="ES316" s="236"/>
      <c r="ET316" s="236"/>
      <c r="EU316" s="236"/>
      <c r="EV316" s="239"/>
      <c r="EW316" s="236"/>
      <c r="EX316" s="217"/>
      <c r="EY316" s="240"/>
      <c r="EZ316" s="241"/>
      <c r="FA316" s="240"/>
      <c r="FB316" s="241"/>
      <c r="FC316" s="240"/>
      <c r="FD316" s="217"/>
      <c r="FE316" s="240"/>
      <c r="FF316" s="217"/>
      <c r="FG316" s="217"/>
      <c r="FH316" s="217"/>
      <c r="FI316" s="217"/>
      <c r="FJ316" s="217"/>
      <c r="FK316" s="240"/>
      <c r="FL316" s="217"/>
      <c r="FM316" s="240"/>
      <c r="FN316" s="217"/>
      <c r="FO316" s="240"/>
      <c r="FP316" s="217"/>
      <c r="FQ316" s="240"/>
      <c r="FR316" s="217"/>
      <c r="FS316" s="236"/>
      <c r="FT316" s="236"/>
      <c r="FU316" s="236"/>
      <c r="FV316" s="236"/>
      <c r="FW316" s="239"/>
      <c r="FX316" s="236"/>
      <c r="FY316" s="217"/>
      <c r="FZ316" s="240"/>
      <c r="GA316" s="217"/>
      <c r="GB316" s="242"/>
      <c r="GC316" s="217"/>
      <c r="GD316" s="240"/>
      <c r="GE316" s="240"/>
      <c r="GF316" s="240"/>
      <c r="GG316" s="240"/>
      <c r="GH316" s="240"/>
      <c r="GI316" s="217"/>
      <c r="GJ316" s="217"/>
      <c r="GK316" s="239"/>
      <c r="GL316" s="243"/>
    </row>
    <row r="317" ht="15.75" customHeight="1">
      <c r="A317" s="229" t="s">
        <v>1128</v>
      </c>
      <c r="B317" s="258">
        <v>1803497.0</v>
      </c>
      <c r="C317" s="259" t="s">
        <v>1829</v>
      </c>
      <c r="D317" s="260">
        <v>43893.4875</v>
      </c>
      <c r="E317" s="229" t="s">
        <v>274</v>
      </c>
      <c r="F317" s="261" t="s">
        <v>1830</v>
      </c>
      <c r="G317" s="261" t="s">
        <v>1831</v>
      </c>
      <c r="H317" s="262">
        <v>43889.0</v>
      </c>
      <c r="I317" s="259" t="s">
        <v>1832</v>
      </c>
      <c r="J317" s="259" t="s">
        <v>1829</v>
      </c>
      <c r="K317" s="229" t="s">
        <v>438</v>
      </c>
      <c r="L317" s="229" t="s">
        <v>390</v>
      </c>
      <c r="M317" s="229" t="s">
        <v>81</v>
      </c>
      <c r="N317" s="229" t="s">
        <v>101</v>
      </c>
      <c r="O317" s="229" t="s">
        <v>35</v>
      </c>
      <c r="P317" s="217"/>
      <c r="Q317" s="229" t="s">
        <v>103</v>
      </c>
      <c r="R317" s="218"/>
      <c r="S317" s="265">
        <v>0.105</v>
      </c>
      <c r="T317" s="220"/>
      <c r="U317" s="220"/>
      <c r="V317" s="221"/>
      <c r="W317" s="220"/>
      <c r="X317" s="222"/>
      <c r="Y317" s="222"/>
      <c r="Z317" s="229" t="s">
        <v>36</v>
      </c>
      <c r="AA317" s="229" t="s">
        <v>123</v>
      </c>
      <c r="AB317" s="229" t="s">
        <v>38</v>
      </c>
      <c r="AC317" s="229" t="s">
        <v>469</v>
      </c>
      <c r="AD317" s="229" t="s">
        <v>39</v>
      </c>
      <c r="AE317" s="229" t="s">
        <v>89</v>
      </c>
      <c r="AF317" s="229" t="s">
        <v>469</v>
      </c>
      <c r="AG317" s="264">
        <v>1.3383E12</v>
      </c>
      <c r="AH317" s="224" t="str">
        <f t="shared" si="609"/>
        <v>&gt; $1T</v>
      </c>
      <c r="AI317" s="264">
        <v>1.3383E12</v>
      </c>
      <c r="AJ317" s="224" t="str">
        <f t="shared" si="610"/>
        <v>&gt; $1T</v>
      </c>
      <c r="AK317" s="237">
        <v>0.1</v>
      </c>
      <c r="AL317" s="258"/>
      <c r="AM317" s="258">
        <v>27.0</v>
      </c>
      <c r="AN317" s="229" t="s">
        <v>89</v>
      </c>
      <c r="AO317" s="229" t="s">
        <v>89</v>
      </c>
      <c r="AP317" s="229" t="s">
        <v>40</v>
      </c>
      <c r="AQ317" s="259"/>
      <c r="AR317" s="259"/>
      <c r="AS317" s="229" t="s">
        <v>469</v>
      </c>
      <c r="AT317" s="229" t="s">
        <v>469</v>
      </c>
      <c r="AU317" s="229" t="s">
        <v>493</v>
      </c>
      <c r="AV317" s="229" t="s">
        <v>493</v>
      </c>
      <c r="AW317" s="264">
        <v>160539.0</v>
      </c>
      <c r="AX317" s="264"/>
      <c r="AY317" s="264">
        <v>4315.0</v>
      </c>
      <c r="AZ317" s="264">
        <v>0.0</v>
      </c>
      <c r="BA317" s="219"/>
      <c r="BB317" s="219">
        <f t="shared" si="611"/>
        <v>1</v>
      </c>
      <c r="BC317" s="229"/>
      <c r="BD317" s="229" t="s">
        <v>124</v>
      </c>
      <c r="BE317" s="217"/>
      <c r="BF317" s="229" t="s">
        <v>469</v>
      </c>
      <c r="BG317" s="258">
        <v>0.0</v>
      </c>
      <c r="BH317" s="258">
        <v>2.0</v>
      </c>
      <c r="BI317" s="229" t="s">
        <v>493</v>
      </c>
      <c r="BJ317" s="229" t="s">
        <v>493</v>
      </c>
      <c r="BK317" s="229" t="s">
        <v>469</v>
      </c>
      <c r="BL317" s="229" t="s">
        <v>469</v>
      </c>
      <c r="BM317" s="258">
        <v>3.0</v>
      </c>
      <c r="BN317" s="258">
        <v>4.0</v>
      </c>
      <c r="BO317" s="258">
        <v>0.0</v>
      </c>
      <c r="BP317" s="258">
        <v>0.0</v>
      </c>
      <c r="BQ317" s="229"/>
      <c r="BR317" s="258">
        <v>6.0</v>
      </c>
      <c r="BS317" s="258">
        <v>0.0</v>
      </c>
      <c r="BT317" s="258">
        <v>0.0</v>
      </c>
      <c r="BU317" s="258">
        <v>32.0</v>
      </c>
      <c r="BV317" s="229" t="s">
        <v>469</v>
      </c>
      <c r="BW317" s="229"/>
      <c r="BX317" s="241">
        <v>6.0</v>
      </c>
      <c r="BY317" s="241">
        <v>0.0</v>
      </c>
      <c r="BZ317" s="241">
        <v>0.0</v>
      </c>
      <c r="CA317" s="217"/>
      <c r="CB317" s="217"/>
      <c r="CC317" s="229"/>
      <c r="CD317" s="217"/>
      <c r="CE317" s="217"/>
      <c r="CF317" s="217"/>
      <c r="CG317" s="217"/>
      <c r="CH317" s="217"/>
      <c r="CI317" s="229"/>
      <c r="CJ317" s="217"/>
      <c r="CK317" s="217"/>
      <c r="CL317" s="217"/>
      <c r="CM317" s="217"/>
      <c r="CN317" s="217"/>
      <c r="CO317" s="229"/>
      <c r="CP317" s="217"/>
      <c r="CQ317" s="217"/>
      <c r="CR317" s="217"/>
      <c r="CS317" s="217"/>
      <c r="CT317" s="217"/>
      <c r="CU317" s="229"/>
      <c r="CV317" s="217"/>
      <c r="CW317" s="217"/>
      <c r="CX317" s="217"/>
      <c r="CY317" s="217"/>
      <c r="CZ317" s="217"/>
      <c r="DA317" s="229"/>
      <c r="DB317" s="217"/>
      <c r="DC317" s="217"/>
      <c r="DD317" s="217"/>
      <c r="DE317" s="217"/>
      <c r="DF317" s="217"/>
      <c r="DG317" s="229"/>
      <c r="DH317" s="217"/>
      <c r="DI317" s="217"/>
      <c r="DJ317" s="217"/>
      <c r="DK317" s="217"/>
      <c r="DL317" s="217"/>
      <c r="DM317" s="229"/>
      <c r="DN317" s="217"/>
      <c r="DO317" s="217"/>
      <c r="DP317" s="217"/>
      <c r="DQ317" s="217"/>
      <c r="DR317" s="217"/>
      <c r="DS317" s="229"/>
      <c r="DT317" s="229"/>
      <c r="DU317" s="229"/>
      <c r="DV317" s="217"/>
      <c r="DW317" s="217"/>
      <c r="DX317" s="230"/>
      <c r="DY317" s="231"/>
      <c r="DZ317" s="231"/>
      <c r="EA317" s="230"/>
      <c r="EB317" s="232"/>
      <c r="EC317" s="217"/>
      <c r="ED317" s="233"/>
      <c r="EE317" s="234"/>
      <c r="EF317" s="235"/>
      <c r="EG317" s="233"/>
      <c r="EH317" s="236"/>
      <c r="EI317" s="217"/>
      <c r="EJ317" s="237"/>
      <c r="EK317" s="217"/>
      <c r="EL317" s="217"/>
      <c r="EM317" s="238"/>
      <c r="EN317" s="236"/>
      <c r="EO317" s="239"/>
      <c r="EP317" s="236"/>
      <c r="EQ317" s="217"/>
      <c r="ER317" s="217"/>
      <c r="ES317" s="236"/>
      <c r="ET317" s="236"/>
      <c r="EU317" s="236"/>
      <c r="EV317" s="239"/>
      <c r="EW317" s="236"/>
      <c r="EX317" s="217"/>
      <c r="EY317" s="240"/>
      <c r="EZ317" s="241"/>
      <c r="FA317" s="240"/>
      <c r="FB317" s="241"/>
      <c r="FC317" s="240"/>
      <c r="FD317" s="217"/>
      <c r="FE317" s="240"/>
      <c r="FF317" s="217"/>
      <c r="FG317" s="217"/>
      <c r="FH317" s="217"/>
      <c r="FI317" s="217"/>
      <c r="FJ317" s="217"/>
      <c r="FK317" s="240"/>
      <c r="FL317" s="217"/>
      <c r="FM317" s="240"/>
      <c r="FN317" s="217"/>
      <c r="FO317" s="240"/>
      <c r="FP317" s="217"/>
      <c r="FQ317" s="240"/>
      <c r="FR317" s="217"/>
      <c r="FS317" s="236"/>
      <c r="FT317" s="236"/>
      <c r="FU317" s="236"/>
      <c r="FV317" s="236"/>
      <c r="FW317" s="239"/>
      <c r="FX317" s="236"/>
      <c r="FY317" s="217"/>
      <c r="FZ317" s="240"/>
      <c r="GA317" s="217"/>
      <c r="GB317" s="242"/>
      <c r="GC317" s="217"/>
      <c r="GD317" s="240"/>
      <c r="GE317" s="240"/>
      <c r="GF317" s="240"/>
      <c r="GG317" s="240"/>
      <c r="GH317" s="240"/>
      <c r="GI317" s="217"/>
      <c r="GJ317" s="217"/>
      <c r="GK317" s="239"/>
      <c r="GL317" s="243"/>
    </row>
    <row r="318" ht="15.75" customHeight="1">
      <c r="A318" s="229" t="s">
        <v>1128</v>
      </c>
      <c r="B318" s="258">
        <v>1805075.0</v>
      </c>
      <c r="C318" s="259" t="s">
        <v>1833</v>
      </c>
      <c r="D318" s="260">
        <v>43893.49166666667</v>
      </c>
      <c r="E318" s="229" t="s">
        <v>274</v>
      </c>
      <c r="F318" s="261" t="s">
        <v>1834</v>
      </c>
      <c r="G318" s="261" t="s">
        <v>1835</v>
      </c>
      <c r="H318" s="262">
        <v>43913.0</v>
      </c>
      <c r="I318" s="259" t="s">
        <v>1836</v>
      </c>
      <c r="J318" s="259" t="s">
        <v>1833</v>
      </c>
      <c r="K318" s="229" t="s">
        <v>529</v>
      </c>
      <c r="L318" s="229" t="s">
        <v>390</v>
      </c>
      <c r="M318" s="229" t="s">
        <v>81</v>
      </c>
      <c r="N318" s="229" t="s">
        <v>32</v>
      </c>
      <c r="O318" s="229" t="s">
        <v>35</v>
      </c>
      <c r="P318" s="217"/>
      <c r="Q318" s="229" t="s">
        <v>103</v>
      </c>
      <c r="R318" s="218"/>
      <c r="S318" s="265">
        <v>0.1025</v>
      </c>
      <c r="T318" s="220"/>
      <c r="U318" s="220"/>
      <c r="V318" s="221"/>
      <c r="W318" s="220"/>
      <c r="X318" s="222"/>
      <c r="Y318" s="222"/>
      <c r="Z318" s="229" t="s">
        <v>36</v>
      </c>
      <c r="AA318" s="229" t="s">
        <v>87</v>
      </c>
      <c r="AB318" s="229" t="s">
        <v>38</v>
      </c>
      <c r="AC318" s="229" t="s">
        <v>493</v>
      </c>
      <c r="AD318" s="229" t="s">
        <v>89</v>
      </c>
      <c r="AE318" s="229" t="s">
        <v>89</v>
      </c>
      <c r="AF318" s="229" t="s">
        <v>469</v>
      </c>
      <c r="AG318" s="264">
        <v>2.1316E11</v>
      </c>
      <c r="AH318" s="224" t="str">
        <f t="shared" si="609"/>
        <v>$100B-$250B</v>
      </c>
      <c r="AI318" s="264">
        <v>2.1316E11</v>
      </c>
      <c r="AJ318" s="224" t="str">
        <f t="shared" si="610"/>
        <v>$100B-$250B</v>
      </c>
      <c r="AK318" s="237">
        <v>0.02</v>
      </c>
      <c r="AL318" s="258"/>
      <c r="AM318" s="258">
        <v>4637.0</v>
      </c>
      <c r="AN318" s="229" t="s">
        <v>89</v>
      </c>
      <c r="AO318" s="229" t="s">
        <v>89</v>
      </c>
      <c r="AP318" s="229" t="s">
        <v>40</v>
      </c>
      <c r="AQ318" s="259"/>
      <c r="AR318" s="259"/>
      <c r="AS318" s="229" t="s">
        <v>469</v>
      </c>
      <c r="AT318" s="229" t="s">
        <v>469</v>
      </c>
      <c r="AU318" s="229" t="s">
        <v>493</v>
      </c>
      <c r="AV318" s="229" t="s">
        <v>493</v>
      </c>
      <c r="AW318" s="264">
        <v>0.0</v>
      </c>
      <c r="AX318" s="264"/>
      <c r="AY318" s="264">
        <v>0.0</v>
      </c>
      <c r="AZ318" s="264">
        <v>0.0</v>
      </c>
      <c r="BA318" s="219"/>
      <c r="BB318" s="219">
        <f t="shared" si="611"/>
        <v>1</v>
      </c>
      <c r="BC318" s="229"/>
      <c r="BD318" s="229" t="s">
        <v>124</v>
      </c>
      <c r="BE318" s="217"/>
      <c r="BF318" s="229" t="s">
        <v>469</v>
      </c>
      <c r="BG318" s="258">
        <v>0.0</v>
      </c>
      <c r="BH318" s="258">
        <v>2.0</v>
      </c>
      <c r="BI318" s="229" t="s">
        <v>469</v>
      </c>
      <c r="BJ318" s="229" t="s">
        <v>493</v>
      </c>
      <c r="BK318" s="229" t="s">
        <v>493</v>
      </c>
      <c r="BL318" s="229" t="s">
        <v>469</v>
      </c>
      <c r="BM318" s="258">
        <v>1.0</v>
      </c>
      <c r="BN318" s="258">
        <v>2.0</v>
      </c>
      <c r="BO318" s="258">
        <v>0.0</v>
      </c>
      <c r="BP318" s="258">
        <v>0.0</v>
      </c>
      <c r="BQ318" s="229"/>
      <c r="BR318" s="258">
        <v>0.0</v>
      </c>
      <c r="BS318" s="258">
        <v>0.0</v>
      </c>
      <c r="BT318" s="258">
        <v>0.0</v>
      </c>
      <c r="BU318" s="258">
        <v>42.0</v>
      </c>
      <c r="BV318" s="229" t="s">
        <v>469</v>
      </c>
      <c r="BW318" s="229"/>
      <c r="BX318" s="241">
        <v>0.0</v>
      </c>
      <c r="BY318" s="241">
        <v>0.0</v>
      </c>
      <c r="BZ318" s="241">
        <v>0.0</v>
      </c>
      <c r="CA318" s="217"/>
      <c r="CB318" s="217" t="s">
        <v>469</v>
      </c>
      <c r="CC318" s="229"/>
      <c r="CD318" s="217"/>
      <c r="CE318" s="217"/>
      <c r="CF318" s="217"/>
      <c r="CG318" s="217"/>
      <c r="CH318" s="217"/>
      <c r="CI318" s="229"/>
      <c r="CJ318" s="217"/>
      <c r="CK318" s="217"/>
      <c r="CL318" s="217"/>
      <c r="CM318" s="217"/>
      <c r="CN318" s="217"/>
      <c r="CO318" s="229"/>
      <c r="CP318" s="217"/>
      <c r="CQ318" s="217"/>
      <c r="CR318" s="217"/>
      <c r="CS318" s="217"/>
      <c r="CT318" s="217"/>
      <c r="CU318" s="229"/>
      <c r="CV318" s="217"/>
      <c r="CW318" s="217"/>
      <c r="CX318" s="217"/>
      <c r="CY318" s="217"/>
      <c r="CZ318" s="217"/>
      <c r="DA318" s="229"/>
      <c r="DB318" s="217"/>
      <c r="DC318" s="217"/>
      <c r="DD318" s="217"/>
      <c r="DE318" s="217"/>
      <c r="DF318" s="217"/>
      <c r="DG318" s="229"/>
      <c r="DH318" s="217"/>
      <c r="DI318" s="217"/>
      <c r="DJ318" s="217"/>
      <c r="DK318" s="217"/>
      <c r="DL318" s="217"/>
      <c r="DM318" s="229"/>
      <c r="DN318" s="217"/>
      <c r="DO318" s="217"/>
      <c r="DP318" s="217"/>
      <c r="DQ318" s="217"/>
      <c r="DR318" s="217"/>
      <c r="DS318" s="229"/>
      <c r="DT318" s="229"/>
      <c r="DU318" s="229"/>
      <c r="DV318" s="217"/>
      <c r="DW318" s="217"/>
      <c r="DX318" s="230"/>
      <c r="DY318" s="231"/>
      <c r="DZ318" s="231"/>
      <c r="EA318" s="230"/>
      <c r="EB318" s="232"/>
      <c r="EC318" s="217"/>
      <c r="ED318" s="233"/>
      <c r="EE318" s="234"/>
      <c r="EF318" s="235"/>
      <c r="EG318" s="233"/>
      <c r="EH318" s="236"/>
      <c r="EI318" s="217"/>
      <c r="EJ318" s="237"/>
      <c r="EK318" s="217"/>
      <c r="EL318" s="217"/>
      <c r="EM318" s="238"/>
      <c r="EN318" s="236"/>
      <c r="EO318" s="239"/>
      <c r="EP318" s="236"/>
      <c r="EQ318" s="217"/>
      <c r="ER318" s="217"/>
      <c r="ES318" s="236"/>
      <c r="ET318" s="236"/>
      <c r="EU318" s="236"/>
      <c r="EV318" s="239"/>
      <c r="EW318" s="236"/>
      <c r="EX318" s="217"/>
      <c r="EY318" s="240"/>
      <c r="EZ318" s="241"/>
      <c r="FA318" s="240"/>
      <c r="FB318" s="241"/>
      <c r="FC318" s="240"/>
      <c r="FD318" s="217"/>
      <c r="FE318" s="240"/>
      <c r="FF318" s="217"/>
      <c r="FG318" s="217"/>
      <c r="FH318" s="217"/>
      <c r="FI318" s="217"/>
      <c r="FJ318" s="217"/>
      <c r="FK318" s="240"/>
      <c r="FL318" s="217"/>
      <c r="FM318" s="240"/>
      <c r="FN318" s="217"/>
      <c r="FO318" s="240"/>
      <c r="FP318" s="217"/>
      <c r="FQ318" s="240"/>
      <c r="FR318" s="217"/>
      <c r="FS318" s="236"/>
      <c r="FT318" s="236"/>
      <c r="FU318" s="236"/>
      <c r="FV318" s="236"/>
      <c r="FW318" s="239"/>
      <c r="FX318" s="236"/>
      <c r="FY318" s="217"/>
      <c r="FZ318" s="240"/>
      <c r="GA318" s="217"/>
      <c r="GB318" s="242"/>
      <c r="GC318" s="217"/>
      <c r="GD318" s="240"/>
      <c r="GE318" s="240"/>
      <c r="GF318" s="240"/>
      <c r="GG318" s="240"/>
      <c r="GH318" s="240"/>
      <c r="GI318" s="217"/>
      <c r="GJ318" s="217"/>
      <c r="GK318" s="239"/>
      <c r="GL318" s="243"/>
    </row>
    <row r="319" ht="15.75" customHeight="1">
      <c r="A319" s="229" t="s">
        <v>1128</v>
      </c>
      <c r="B319" s="258">
        <v>1798823.0</v>
      </c>
      <c r="C319" s="259" t="s">
        <v>1837</v>
      </c>
      <c r="D319" s="260">
        <v>43893.49722222222</v>
      </c>
      <c r="E319" s="229" t="s">
        <v>274</v>
      </c>
      <c r="F319" s="261" t="s">
        <v>1838</v>
      </c>
      <c r="G319" s="261" t="s">
        <v>1839</v>
      </c>
      <c r="H319" s="262">
        <v>43879.0</v>
      </c>
      <c r="I319" s="259" t="s">
        <v>1840</v>
      </c>
      <c r="J319" s="259" t="s">
        <v>1837</v>
      </c>
      <c r="K319" s="229" t="s">
        <v>549</v>
      </c>
      <c r="L319" s="229" t="s">
        <v>390</v>
      </c>
      <c r="M319" s="229" t="s">
        <v>31</v>
      </c>
      <c r="N319" s="229" t="s">
        <v>32</v>
      </c>
      <c r="O319" s="229" t="s">
        <v>35</v>
      </c>
      <c r="P319" s="217"/>
      <c r="Q319" s="229" t="s">
        <v>103</v>
      </c>
      <c r="R319" s="218"/>
      <c r="S319" s="265">
        <v>0.1</v>
      </c>
      <c r="T319" s="220"/>
      <c r="U319" s="220"/>
      <c r="V319" s="221"/>
      <c r="W319" s="220"/>
      <c r="X319" s="222"/>
      <c r="Y319" s="222"/>
      <c r="Z319" s="229" t="s">
        <v>36</v>
      </c>
      <c r="AA319" s="229" t="s">
        <v>123</v>
      </c>
      <c r="AB319" s="229" t="s">
        <v>38</v>
      </c>
      <c r="AC319" s="229" t="s">
        <v>493</v>
      </c>
      <c r="AD319" s="229" t="s">
        <v>89</v>
      </c>
      <c r="AE319" s="229" t="s">
        <v>39</v>
      </c>
      <c r="AF319" s="229" t="s">
        <v>469</v>
      </c>
      <c r="AG319" s="264">
        <v>6.5125E10</v>
      </c>
      <c r="AH319" s="224" t="str">
        <f t="shared" si="609"/>
        <v>$50B-$100B</v>
      </c>
      <c r="AI319" s="264">
        <v>6.8E7</v>
      </c>
      <c r="AJ319" s="224" t="str">
        <f t="shared" si="610"/>
        <v>$50M-$100M</v>
      </c>
      <c r="AK319" s="237">
        <v>0.02</v>
      </c>
      <c r="AL319" s="258"/>
      <c r="AM319" s="258">
        <v>80.0</v>
      </c>
      <c r="AN319" s="229" t="s">
        <v>89</v>
      </c>
      <c r="AO319" s="229" t="s">
        <v>89</v>
      </c>
      <c r="AP319" s="229" t="s">
        <v>40</v>
      </c>
      <c r="AQ319" s="259"/>
      <c r="AR319" s="259"/>
      <c r="AS319" s="229" t="s">
        <v>469</v>
      </c>
      <c r="AT319" s="229" t="s">
        <v>469</v>
      </c>
      <c r="AU319" s="229" t="s">
        <v>469</v>
      </c>
      <c r="AV319" s="229" t="s">
        <v>469</v>
      </c>
      <c r="AW319" s="264">
        <v>0.0</v>
      </c>
      <c r="AX319" s="264"/>
      <c r="AY319" s="264">
        <v>0.0</v>
      </c>
      <c r="AZ319" s="264">
        <v>0.0</v>
      </c>
      <c r="BA319" s="219"/>
      <c r="BB319" s="219">
        <f t="shared" si="611"/>
        <v>1</v>
      </c>
      <c r="BC319" s="229"/>
      <c r="BD319" s="229" t="s">
        <v>41</v>
      </c>
      <c r="BE319" s="217"/>
      <c r="BF319" s="229" t="s">
        <v>469</v>
      </c>
      <c r="BG319" s="258">
        <v>0.0</v>
      </c>
      <c r="BH319" s="258">
        <v>2.0</v>
      </c>
      <c r="BI319" s="229" t="s">
        <v>493</v>
      </c>
      <c r="BJ319" s="229" t="s">
        <v>469</v>
      </c>
      <c r="BK319" s="229" t="s">
        <v>493</v>
      </c>
      <c r="BL319" s="229" t="s">
        <v>469</v>
      </c>
      <c r="BM319" s="258">
        <v>1.0</v>
      </c>
      <c r="BN319" s="258">
        <v>10.0</v>
      </c>
      <c r="BO319" s="258">
        <v>0.0</v>
      </c>
      <c r="BP319" s="258">
        <v>0.0</v>
      </c>
      <c r="BQ319" s="229"/>
      <c r="BR319" s="258">
        <v>21.0</v>
      </c>
      <c r="BS319" s="258">
        <v>0.0</v>
      </c>
      <c r="BT319" s="258">
        <v>0.0</v>
      </c>
      <c r="BU319" s="258">
        <v>48.0</v>
      </c>
      <c r="BV319" s="229" t="s">
        <v>469</v>
      </c>
      <c r="BW319" s="229"/>
      <c r="BX319" s="241">
        <v>4.0</v>
      </c>
      <c r="BY319" s="241">
        <v>1.0</v>
      </c>
      <c r="BZ319" s="241">
        <v>0.0</v>
      </c>
      <c r="CA319" s="217"/>
      <c r="CB319" s="217"/>
      <c r="CC319" s="229"/>
      <c r="CD319" s="217"/>
      <c r="CE319" s="217"/>
      <c r="CF319" s="217"/>
      <c r="CG319" s="217"/>
      <c r="CH319" s="217"/>
      <c r="CI319" s="229"/>
      <c r="CJ319" s="217"/>
      <c r="CK319" s="217"/>
      <c r="CL319" s="217"/>
      <c r="CM319" s="217"/>
      <c r="CN319" s="217"/>
      <c r="CO319" s="229"/>
      <c r="CP319" s="217"/>
      <c r="CQ319" s="217"/>
      <c r="CR319" s="217"/>
      <c r="CS319" s="217"/>
      <c r="CT319" s="217"/>
      <c r="CU319" s="229"/>
      <c r="CV319" s="217"/>
      <c r="CW319" s="217"/>
      <c r="CX319" s="217"/>
      <c r="CY319" s="217"/>
      <c r="CZ319" s="217"/>
      <c r="DA319" s="229"/>
      <c r="DB319" s="217"/>
      <c r="DC319" s="217"/>
      <c r="DD319" s="217"/>
      <c r="DE319" s="217"/>
      <c r="DF319" s="217"/>
      <c r="DG319" s="229"/>
      <c r="DH319" s="217"/>
      <c r="DI319" s="217"/>
      <c r="DJ319" s="217"/>
      <c r="DK319" s="217"/>
      <c r="DL319" s="217"/>
      <c r="DM319" s="229"/>
      <c r="DN319" s="217"/>
      <c r="DO319" s="217"/>
      <c r="DP319" s="217"/>
      <c r="DQ319" s="217"/>
      <c r="DR319" s="217"/>
      <c r="DS319" s="229"/>
      <c r="DT319" s="229"/>
      <c r="DU319" s="229"/>
      <c r="DV319" s="217"/>
      <c r="DW319" s="217"/>
      <c r="DX319" s="230"/>
      <c r="DY319" s="231"/>
      <c r="DZ319" s="231"/>
      <c r="EA319" s="230"/>
      <c r="EB319" s="232"/>
      <c r="EC319" s="217"/>
      <c r="ED319" s="233"/>
      <c r="EE319" s="234"/>
      <c r="EF319" s="235"/>
      <c r="EG319" s="233"/>
      <c r="EH319" s="236"/>
      <c r="EI319" s="217"/>
      <c r="EJ319" s="237"/>
      <c r="EK319" s="217"/>
      <c r="EL319" s="217"/>
      <c r="EM319" s="238"/>
      <c r="EN319" s="236"/>
      <c r="EO319" s="239"/>
      <c r="EP319" s="236"/>
      <c r="EQ319" s="217"/>
      <c r="ER319" s="217"/>
      <c r="ES319" s="236"/>
      <c r="ET319" s="236"/>
      <c r="EU319" s="236"/>
      <c r="EV319" s="239"/>
      <c r="EW319" s="236"/>
      <c r="EX319" s="217"/>
      <c r="EY319" s="240"/>
      <c r="EZ319" s="241"/>
      <c r="FA319" s="240"/>
      <c r="FB319" s="241"/>
      <c r="FC319" s="240"/>
      <c r="FD319" s="217"/>
      <c r="FE319" s="240"/>
      <c r="FF319" s="217"/>
      <c r="FG319" s="217"/>
      <c r="FH319" s="217"/>
      <c r="FI319" s="217"/>
      <c r="FJ319" s="217"/>
      <c r="FK319" s="240"/>
      <c r="FL319" s="217"/>
      <c r="FM319" s="240"/>
      <c r="FN319" s="217"/>
      <c r="FO319" s="240"/>
      <c r="FP319" s="217"/>
      <c r="FQ319" s="240"/>
      <c r="FR319" s="217"/>
      <c r="FS319" s="236"/>
      <c r="FT319" s="236"/>
      <c r="FU319" s="236"/>
      <c r="FV319" s="236"/>
      <c r="FW319" s="239"/>
      <c r="FX319" s="236"/>
      <c r="FY319" s="217"/>
      <c r="FZ319" s="240"/>
      <c r="GA319" s="217"/>
      <c r="GB319" s="242"/>
      <c r="GC319" s="217"/>
      <c r="GD319" s="240"/>
      <c r="GE319" s="240"/>
      <c r="GF319" s="240"/>
      <c r="GG319" s="240"/>
      <c r="GH319" s="240"/>
      <c r="GI319" s="217"/>
      <c r="GJ319" s="217"/>
      <c r="GK319" s="239"/>
      <c r="GL319" s="243"/>
    </row>
    <row r="320" ht="15.75" customHeight="1">
      <c r="A320" s="266" t="s">
        <v>427</v>
      </c>
      <c r="B320" s="267">
        <v>1807302.0</v>
      </c>
      <c r="C320" s="268" t="s">
        <v>1841</v>
      </c>
      <c r="D320" s="260"/>
      <c r="E320" s="266" t="s">
        <v>325</v>
      </c>
      <c r="F320" s="269" t="s">
        <v>1842</v>
      </c>
      <c r="G320" s="269" t="s">
        <v>1843</v>
      </c>
      <c r="H320" s="270">
        <v>43921.0</v>
      </c>
      <c r="I320" s="268" t="s">
        <v>1844</v>
      </c>
      <c r="J320" s="268" t="s">
        <v>1844</v>
      </c>
      <c r="K320" s="266" t="s">
        <v>423</v>
      </c>
      <c r="L320" s="266" t="s">
        <v>390</v>
      </c>
      <c r="M320" s="266" t="s">
        <v>31</v>
      </c>
      <c r="N320" s="266" t="s">
        <v>32</v>
      </c>
      <c r="O320" s="266" t="s">
        <v>35</v>
      </c>
      <c r="P320" s="217"/>
      <c r="Q320" s="266" t="s">
        <v>169</v>
      </c>
      <c r="R320" s="271">
        <v>1.3</v>
      </c>
      <c r="S320" s="265"/>
      <c r="T320" s="220"/>
      <c r="U320" s="220"/>
      <c r="V320" s="221"/>
      <c r="W320" s="220"/>
      <c r="X320" s="222"/>
      <c r="Y320" s="222"/>
      <c r="Z320" s="266" t="s">
        <v>36</v>
      </c>
      <c r="AA320" s="266" t="s">
        <v>87</v>
      </c>
      <c r="AB320" s="266" t="s">
        <v>38</v>
      </c>
      <c r="AC320" s="266" t="s">
        <v>469</v>
      </c>
      <c r="AD320" s="266" t="s">
        <v>89</v>
      </c>
      <c r="AE320" s="266" t="s">
        <v>39</v>
      </c>
      <c r="AF320" s="266" t="s">
        <v>469</v>
      </c>
      <c r="AG320" s="272">
        <v>1.7E10</v>
      </c>
      <c r="AH320" s="273" t="s">
        <v>174</v>
      </c>
      <c r="AI320" s="272">
        <v>4.25E7</v>
      </c>
      <c r="AJ320" s="273" t="s">
        <v>344</v>
      </c>
      <c r="AK320" s="274">
        <v>0.031</v>
      </c>
      <c r="AL320" s="267" t="s">
        <v>95</v>
      </c>
      <c r="AM320" s="267">
        <v>8.0</v>
      </c>
      <c r="AN320" s="266" t="s">
        <v>89</v>
      </c>
      <c r="AO320" s="266" t="s">
        <v>89</v>
      </c>
      <c r="AP320" s="266" t="s">
        <v>40</v>
      </c>
      <c r="AQ320" s="268" t="s">
        <v>89</v>
      </c>
      <c r="AR320" s="268" t="s">
        <v>39</v>
      </c>
      <c r="AS320" s="266" t="s">
        <v>469</v>
      </c>
      <c r="AT320" s="266" t="s">
        <v>469</v>
      </c>
      <c r="AU320" s="266" t="s">
        <v>493</v>
      </c>
      <c r="AV320" s="266" t="s">
        <v>493</v>
      </c>
      <c r="AW320" s="272">
        <v>50124.0</v>
      </c>
      <c r="AX320" s="272" t="s">
        <v>68</v>
      </c>
      <c r="AY320" s="272">
        <v>9702.0</v>
      </c>
      <c r="AZ320" s="272">
        <v>0.0</v>
      </c>
      <c r="BA320" s="273" t="s">
        <v>62</v>
      </c>
      <c r="BB320" s="275">
        <v>1.0</v>
      </c>
      <c r="BC320" s="266" t="s">
        <v>305</v>
      </c>
      <c r="BD320" s="266" t="s">
        <v>124</v>
      </c>
      <c r="BE320" s="217"/>
      <c r="BF320" s="266" t="s">
        <v>469</v>
      </c>
      <c r="BG320" s="267">
        <v>0.0</v>
      </c>
      <c r="BH320" s="267">
        <v>1.0</v>
      </c>
      <c r="BI320" s="266" t="s">
        <v>469</v>
      </c>
      <c r="BJ320" s="266" t="s">
        <v>469</v>
      </c>
      <c r="BK320" s="266" t="s">
        <v>469</v>
      </c>
      <c r="BL320" s="266" t="s">
        <v>469</v>
      </c>
      <c r="BM320" s="267">
        <v>1.0</v>
      </c>
      <c r="BN320" s="267">
        <v>2.0</v>
      </c>
      <c r="BO320" s="267">
        <v>0.0</v>
      </c>
      <c r="BP320" s="267">
        <v>0.0</v>
      </c>
      <c r="BQ320" s="229"/>
      <c r="BR320" s="267">
        <v>18.0</v>
      </c>
      <c r="BS320" s="267">
        <v>0.0</v>
      </c>
      <c r="BT320" s="267">
        <v>0.0</v>
      </c>
      <c r="BU320" s="267">
        <v>39.0</v>
      </c>
      <c r="BV320" s="266" t="s">
        <v>469</v>
      </c>
      <c r="BW320" s="229"/>
      <c r="BX320" s="241"/>
      <c r="BY320" s="241"/>
      <c r="BZ320" s="241"/>
      <c r="CA320" s="217"/>
      <c r="CB320" s="217"/>
      <c r="CC320" s="229"/>
      <c r="CD320" s="217"/>
      <c r="CE320" s="217"/>
      <c r="CF320" s="217"/>
      <c r="CG320" s="217"/>
      <c r="CH320" s="217"/>
      <c r="CI320" s="229"/>
      <c r="CJ320" s="217"/>
      <c r="CK320" s="217"/>
      <c r="CL320" s="217"/>
      <c r="CM320" s="217"/>
      <c r="CN320" s="217"/>
      <c r="CO320" s="229"/>
      <c r="CP320" s="217"/>
      <c r="CQ320" s="217"/>
      <c r="CR320" s="217"/>
      <c r="CS320" s="217"/>
      <c r="CT320" s="217"/>
      <c r="CU320" s="229"/>
      <c r="CV320" s="217"/>
      <c r="CW320" s="217"/>
      <c r="CX320" s="217"/>
      <c r="CY320" s="217"/>
      <c r="CZ320" s="217"/>
      <c r="DA320" s="229"/>
      <c r="DB320" s="217"/>
      <c r="DC320" s="217"/>
      <c r="DD320" s="217"/>
      <c r="DE320" s="217"/>
      <c r="DF320" s="217"/>
      <c r="DG320" s="229"/>
      <c r="DH320" s="217"/>
      <c r="DI320" s="217"/>
      <c r="DJ320" s="217"/>
      <c r="DK320" s="217"/>
      <c r="DL320" s="217"/>
      <c r="DM320" s="229"/>
      <c r="DN320" s="217"/>
      <c r="DO320" s="217"/>
      <c r="DP320" s="217"/>
      <c r="DQ320" s="217"/>
      <c r="DR320" s="217"/>
      <c r="DS320" s="229"/>
      <c r="DT320" s="229"/>
      <c r="DU320" s="229"/>
      <c r="DV320" s="217"/>
      <c r="DW320" s="217"/>
      <c r="DX320" s="230"/>
      <c r="DY320" s="231"/>
      <c r="DZ320" s="231"/>
      <c r="EA320" s="230"/>
      <c r="EB320" s="232"/>
      <c r="EC320" s="217"/>
      <c r="ED320" s="233"/>
      <c r="EE320" s="234"/>
      <c r="EF320" s="235"/>
      <c r="EG320" s="233"/>
      <c r="EH320" s="236"/>
      <c r="EI320" s="217"/>
      <c r="EJ320" s="237"/>
      <c r="EK320" s="217"/>
      <c r="EL320" s="217"/>
      <c r="EM320" s="238"/>
      <c r="EN320" s="236"/>
      <c r="EO320" s="239"/>
      <c r="EP320" s="236"/>
      <c r="EQ320" s="217"/>
      <c r="ER320" s="217"/>
      <c r="ES320" s="236"/>
      <c r="ET320" s="236"/>
      <c r="EU320" s="236"/>
      <c r="EV320" s="239"/>
      <c r="EW320" s="236"/>
      <c r="EX320" s="217"/>
      <c r="EY320" s="240"/>
      <c r="EZ320" s="241"/>
      <c r="FA320" s="240"/>
      <c r="FB320" s="241"/>
      <c r="FC320" s="240"/>
      <c r="FD320" s="217"/>
      <c r="FE320" s="240"/>
      <c r="FF320" s="217"/>
      <c r="FG320" s="217"/>
      <c r="FH320" s="217"/>
      <c r="FI320" s="217"/>
      <c r="FJ320" s="217"/>
      <c r="FK320" s="240"/>
      <c r="FL320" s="217"/>
      <c r="FM320" s="240"/>
      <c r="FN320" s="217"/>
      <c r="FO320" s="240"/>
      <c r="FP320" s="217"/>
      <c r="FQ320" s="240"/>
      <c r="FR320" s="217"/>
      <c r="FS320" s="236"/>
      <c r="FT320" s="236"/>
      <c r="FU320" s="236"/>
      <c r="FV320" s="236"/>
      <c r="FW320" s="239"/>
      <c r="FX320" s="236"/>
      <c r="FY320" s="217"/>
      <c r="FZ320" s="240"/>
      <c r="GA320" s="217"/>
      <c r="GB320" s="242"/>
      <c r="GC320" s="217"/>
      <c r="GD320" s="240"/>
      <c r="GE320" s="240"/>
      <c r="GF320" s="240"/>
      <c r="GG320" s="240"/>
      <c r="GH320" s="240"/>
      <c r="GI320" s="217"/>
      <c r="GJ320" s="217"/>
      <c r="GK320" s="239"/>
      <c r="GL320" s="243"/>
    </row>
    <row r="321" ht="15.75" customHeight="1">
      <c r="A321" s="266" t="s">
        <v>427</v>
      </c>
      <c r="B321" s="267">
        <v>1807964.0</v>
      </c>
      <c r="C321" s="268" t="s">
        <v>1845</v>
      </c>
      <c r="D321" s="260"/>
      <c r="E321" s="266" t="s">
        <v>325</v>
      </c>
      <c r="F321" s="269" t="s">
        <v>1846</v>
      </c>
      <c r="G321" s="269" t="s">
        <v>1847</v>
      </c>
      <c r="H321" s="270">
        <v>43922.0</v>
      </c>
      <c r="I321" s="268" t="s">
        <v>1848</v>
      </c>
      <c r="J321" s="268" t="s">
        <v>1845</v>
      </c>
      <c r="K321" s="266" t="s">
        <v>457</v>
      </c>
      <c r="L321" s="266" t="s">
        <v>390</v>
      </c>
      <c r="M321" s="266" t="s">
        <v>31</v>
      </c>
      <c r="N321" s="266" t="s">
        <v>32</v>
      </c>
      <c r="O321" s="266" t="s">
        <v>35</v>
      </c>
      <c r="P321" s="217"/>
      <c r="Q321" s="266" t="s">
        <v>169</v>
      </c>
      <c r="R321" s="271">
        <v>1.1</v>
      </c>
      <c r="S321" s="265"/>
      <c r="T321" s="220"/>
      <c r="U321" s="220"/>
      <c r="V321" s="221"/>
      <c r="W321" s="220"/>
      <c r="X321" s="222"/>
      <c r="Y321" s="222"/>
      <c r="Z321" s="266" t="s">
        <v>36</v>
      </c>
      <c r="AA321" s="266" t="s">
        <v>87</v>
      </c>
      <c r="AB321" s="266" t="s">
        <v>38</v>
      </c>
      <c r="AC321" s="266" t="s">
        <v>469</v>
      </c>
      <c r="AD321" s="266" t="s">
        <v>89</v>
      </c>
      <c r="AE321" s="266" t="s">
        <v>39</v>
      </c>
      <c r="AF321" s="266" t="s">
        <v>469</v>
      </c>
      <c r="AG321" s="272">
        <v>4.7E10</v>
      </c>
      <c r="AH321" s="273" t="s">
        <v>160</v>
      </c>
      <c r="AI321" s="272">
        <v>1.5E10</v>
      </c>
      <c r="AJ321" s="273" t="s">
        <v>174</v>
      </c>
      <c r="AK321" s="274">
        <v>0.055</v>
      </c>
      <c r="AL321" s="267" t="s">
        <v>95</v>
      </c>
      <c r="AM321" s="267">
        <v>10.0</v>
      </c>
      <c r="AN321" s="266" t="s">
        <v>39</v>
      </c>
      <c r="AO321" s="266" t="s">
        <v>89</v>
      </c>
      <c r="AP321" s="266" t="s">
        <v>40</v>
      </c>
      <c r="AQ321" s="268" t="s">
        <v>39</v>
      </c>
      <c r="AR321" s="268" t="s">
        <v>39</v>
      </c>
      <c r="AS321" s="266" t="s">
        <v>469</v>
      </c>
      <c r="AT321" s="266" t="s">
        <v>469</v>
      </c>
      <c r="AU321" s="266" t="s">
        <v>493</v>
      </c>
      <c r="AV321" s="266" t="s">
        <v>493</v>
      </c>
      <c r="AW321" s="272">
        <v>984796.0</v>
      </c>
      <c r="AX321" s="272" t="s">
        <v>71</v>
      </c>
      <c r="AY321" s="272">
        <v>2400.0</v>
      </c>
      <c r="AZ321" s="272">
        <v>0.0</v>
      </c>
      <c r="BA321" s="273" t="s">
        <v>62</v>
      </c>
      <c r="BB321" s="275">
        <v>1.0</v>
      </c>
      <c r="BC321" s="266" t="s">
        <v>305</v>
      </c>
      <c r="BD321" s="266" t="s">
        <v>107</v>
      </c>
      <c r="BE321" s="217"/>
      <c r="BF321" s="266" t="s">
        <v>493</v>
      </c>
      <c r="BG321" s="267">
        <v>4.0</v>
      </c>
      <c r="BH321" s="267">
        <v>1.0</v>
      </c>
      <c r="BI321" s="266" t="s">
        <v>469</v>
      </c>
      <c r="BJ321" s="266" t="s">
        <v>493</v>
      </c>
      <c r="BK321" s="266" t="s">
        <v>469</v>
      </c>
      <c r="BL321" s="266" t="s">
        <v>469</v>
      </c>
      <c r="BM321" s="267">
        <v>2.0</v>
      </c>
      <c r="BN321" s="267">
        <v>6.0</v>
      </c>
      <c r="BO321" s="267">
        <v>0.0</v>
      </c>
      <c r="BP321" s="267">
        <v>0.0</v>
      </c>
      <c r="BQ321" s="229"/>
      <c r="BR321" s="267">
        <v>6.0</v>
      </c>
      <c r="BS321" s="267">
        <v>0.0</v>
      </c>
      <c r="BT321" s="267">
        <v>0.0</v>
      </c>
      <c r="BU321" s="267">
        <v>37.0</v>
      </c>
      <c r="BV321" s="266" t="s">
        <v>493</v>
      </c>
      <c r="BW321" s="229"/>
      <c r="BX321" s="241"/>
      <c r="BY321" s="241"/>
      <c r="BZ321" s="241"/>
      <c r="CA321" s="217"/>
      <c r="CB321" s="217"/>
      <c r="CC321" s="229"/>
      <c r="CD321" s="217"/>
      <c r="CE321" s="217"/>
      <c r="CF321" s="217"/>
      <c r="CG321" s="217"/>
      <c r="CH321" s="217"/>
      <c r="CI321" s="229"/>
      <c r="CJ321" s="217"/>
      <c r="CK321" s="217"/>
      <c r="CL321" s="217"/>
      <c r="CM321" s="217"/>
      <c r="CN321" s="217"/>
      <c r="CO321" s="229"/>
      <c r="CP321" s="217"/>
      <c r="CQ321" s="217"/>
      <c r="CR321" s="217"/>
      <c r="CS321" s="217"/>
      <c r="CT321" s="217"/>
      <c r="CU321" s="229"/>
      <c r="CV321" s="217"/>
      <c r="CW321" s="217"/>
      <c r="CX321" s="217"/>
      <c r="CY321" s="217"/>
      <c r="CZ321" s="217"/>
      <c r="DA321" s="229"/>
      <c r="DB321" s="217"/>
      <c r="DC321" s="217"/>
      <c r="DD321" s="217"/>
      <c r="DE321" s="217"/>
      <c r="DF321" s="217"/>
      <c r="DG321" s="229"/>
      <c r="DH321" s="217"/>
      <c r="DI321" s="217"/>
      <c r="DJ321" s="217"/>
      <c r="DK321" s="217"/>
      <c r="DL321" s="217"/>
      <c r="DM321" s="229"/>
      <c r="DN321" s="217"/>
      <c r="DO321" s="217"/>
      <c r="DP321" s="217"/>
      <c r="DQ321" s="217"/>
      <c r="DR321" s="217"/>
      <c r="DS321" s="229"/>
      <c r="DT321" s="229"/>
      <c r="DU321" s="229"/>
      <c r="DV321" s="217"/>
      <c r="DW321" s="217"/>
      <c r="DX321" s="230"/>
      <c r="DY321" s="231"/>
      <c r="DZ321" s="231"/>
      <c r="EA321" s="230"/>
      <c r="EB321" s="232"/>
      <c r="EC321" s="217"/>
      <c r="ED321" s="233"/>
      <c r="EE321" s="234"/>
      <c r="EF321" s="235"/>
      <c r="EG321" s="233"/>
      <c r="EH321" s="236"/>
      <c r="EI321" s="217"/>
      <c r="EJ321" s="237"/>
      <c r="EK321" s="217"/>
      <c r="EL321" s="217"/>
      <c r="EM321" s="238"/>
      <c r="EN321" s="236"/>
      <c r="EO321" s="239"/>
      <c r="EP321" s="236"/>
      <c r="EQ321" s="217"/>
      <c r="ER321" s="217"/>
      <c r="ES321" s="236"/>
      <c r="ET321" s="236"/>
      <c r="EU321" s="236"/>
      <c r="EV321" s="239"/>
      <c r="EW321" s="236"/>
      <c r="EX321" s="217"/>
      <c r="EY321" s="240"/>
      <c r="EZ321" s="241"/>
      <c r="FA321" s="240"/>
      <c r="FB321" s="241"/>
      <c r="FC321" s="240"/>
      <c r="FD321" s="217"/>
      <c r="FE321" s="240"/>
      <c r="FF321" s="217"/>
      <c r="FG321" s="217"/>
      <c r="FH321" s="217"/>
      <c r="FI321" s="217"/>
      <c r="FJ321" s="217"/>
      <c r="FK321" s="240"/>
      <c r="FL321" s="217"/>
      <c r="FM321" s="240"/>
      <c r="FN321" s="217"/>
      <c r="FO321" s="240"/>
      <c r="FP321" s="217"/>
      <c r="FQ321" s="240"/>
      <c r="FR321" s="217"/>
      <c r="FS321" s="236"/>
      <c r="FT321" s="236"/>
      <c r="FU321" s="236"/>
      <c r="FV321" s="236"/>
      <c r="FW321" s="239"/>
      <c r="FX321" s="236"/>
      <c r="FY321" s="217"/>
      <c r="FZ321" s="240"/>
      <c r="GA321" s="217"/>
      <c r="GB321" s="242"/>
      <c r="GC321" s="217"/>
      <c r="GD321" s="240"/>
      <c r="GE321" s="240"/>
      <c r="GF321" s="240"/>
      <c r="GG321" s="240"/>
      <c r="GH321" s="240"/>
      <c r="GI321" s="217"/>
      <c r="GJ321" s="217"/>
      <c r="GK321" s="239"/>
      <c r="GL321" s="243"/>
    </row>
    <row r="322" ht="15.75" customHeight="1">
      <c r="A322" s="266" t="s">
        <v>427</v>
      </c>
      <c r="B322" s="267">
        <v>1808346.0</v>
      </c>
      <c r="C322" s="268" t="s">
        <v>1849</v>
      </c>
      <c r="D322" s="260"/>
      <c r="E322" s="266" t="s">
        <v>325</v>
      </c>
      <c r="F322" s="269" t="s">
        <v>1850</v>
      </c>
      <c r="G322" s="269" t="s">
        <v>1851</v>
      </c>
      <c r="H322" s="270">
        <v>43923.0</v>
      </c>
      <c r="I322" s="268" t="s">
        <v>1852</v>
      </c>
      <c r="J322" s="268" t="s">
        <v>1849</v>
      </c>
      <c r="K322" s="266" t="s">
        <v>448</v>
      </c>
      <c r="L322" s="266" t="s">
        <v>390</v>
      </c>
      <c r="M322" s="266" t="s">
        <v>31</v>
      </c>
      <c r="N322" s="266" t="s">
        <v>32</v>
      </c>
      <c r="O322" s="266" t="s">
        <v>35</v>
      </c>
      <c r="P322" s="217"/>
      <c r="Q322" s="266" t="s">
        <v>169</v>
      </c>
      <c r="R322" s="271">
        <v>1.5</v>
      </c>
      <c r="S322" s="265"/>
      <c r="T322" s="220"/>
      <c r="U322" s="220"/>
      <c r="V322" s="221"/>
      <c r="W322" s="220"/>
      <c r="X322" s="222"/>
      <c r="Y322" s="222"/>
      <c r="Z322" s="266" t="s">
        <v>36</v>
      </c>
      <c r="AA322" s="266" t="s">
        <v>87</v>
      </c>
      <c r="AB322" s="266" t="s">
        <v>38</v>
      </c>
      <c r="AC322" s="266" t="s">
        <v>469</v>
      </c>
      <c r="AD322" s="266" t="s">
        <v>89</v>
      </c>
      <c r="AE322" s="266" t="s">
        <v>39</v>
      </c>
      <c r="AF322" s="266" t="s">
        <v>469</v>
      </c>
      <c r="AG322" s="272">
        <v>3.0E10</v>
      </c>
      <c r="AH322" s="273" t="s">
        <v>160</v>
      </c>
      <c r="AI322" s="272">
        <v>7.5E9</v>
      </c>
      <c r="AJ322" s="273" t="s">
        <v>199</v>
      </c>
      <c r="AK322" s="274">
        <v>0.032</v>
      </c>
      <c r="AL322" s="267" t="s">
        <v>95</v>
      </c>
      <c r="AM322" s="267">
        <v>20.0</v>
      </c>
      <c r="AN322" s="266" t="s">
        <v>39</v>
      </c>
      <c r="AO322" s="266" t="s">
        <v>89</v>
      </c>
      <c r="AP322" s="266" t="s">
        <v>40</v>
      </c>
      <c r="AQ322" s="268" t="s">
        <v>89</v>
      </c>
      <c r="AR322" s="268" t="s">
        <v>39</v>
      </c>
      <c r="AS322" s="266" t="s">
        <v>469</v>
      </c>
      <c r="AT322" s="266" t="s">
        <v>469</v>
      </c>
      <c r="AU322" s="266" t="s">
        <v>493</v>
      </c>
      <c r="AV322" s="266" t="s">
        <v>493</v>
      </c>
      <c r="AW322" s="272">
        <v>150730.0</v>
      </c>
      <c r="AX322" s="272" t="s">
        <v>70</v>
      </c>
      <c r="AY322" s="272">
        <v>8145.0</v>
      </c>
      <c r="AZ322" s="272">
        <v>0.0</v>
      </c>
      <c r="BA322" s="273" t="s">
        <v>62</v>
      </c>
      <c r="BB322" s="275">
        <v>1.0</v>
      </c>
      <c r="BC322" s="266" t="s">
        <v>305</v>
      </c>
      <c r="BD322" s="266" t="s">
        <v>124</v>
      </c>
      <c r="BE322" s="217"/>
      <c r="BF322" s="266" t="s">
        <v>469</v>
      </c>
      <c r="BG322" s="267">
        <v>0.0</v>
      </c>
      <c r="BH322" s="267">
        <v>1.0</v>
      </c>
      <c r="BI322" s="266" t="s">
        <v>469</v>
      </c>
      <c r="BJ322" s="266" t="s">
        <v>469</v>
      </c>
      <c r="BK322" s="266" t="s">
        <v>469</v>
      </c>
      <c r="BL322" s="266" t="s">
        <v>493</v>
      </c>
      <c r="BM322" s="267">
        <v>1.0</v>
      </c>
      <c r="BN322" s="258"/>
      <c r="BO322" s="267">
        <v>0.0</v>
      </c>
      <c r="BP322" s="267">
        <v>0.0</v>
      </c>
      <c r="BQ322" s="229"/>
      <c r="BR322" s="267">
        <v>36.0</v>
      </c>
      <c r="BS322" s="267">
        <v>0.0</v>
      </c>
      <c r="BT322" s="267">
        <v>0.0</v>
      </c>
      <c r="BU322" s="267">
        <v>56.0</v>
      </c>
      <c r="BV322" s="266" t="s">
        <v>469</v>
      </c>
      <c r="BW322" s="229"/>
      <c r="BX322" s="241"/>
      <c r="BY322" s="241"/>
      <c r="BZ322" s="241"/>
      <c r="CA322" s="217"/>
      <c r="CB322" s="217"/>
      <c r="CC322" s="229"/>
      <c r="CD322" s="217"/>
      <c r="CE322" s="217"/>
      <c r="CF322" s="217"/>
      <c r="CG322" s="217"/>
      <c r="CH322" s="217"/>
      <c r="CI322" s="229"/>
      <c r="CJ322" s="217"/>
      <c r="CK322" s="217"/>
      <c r="CL322" s="217"/>
      <c r="CM322" s="217"/>
      <c r="CN322" s="217"/>
      <c r="CO322" s="229"/>
      <c r="CP322" s="217"/>
      <c r="CQ322" s="217"/>
      <c r="CR322" s="217"/>
      <c r="CS322" s="217"/>
      <c r="CT322" s="217"/>
      <c r="CU322" s="229"/>
      <c r="CV322" s="217"/>
      <c r="CW322" s="217"/>
      <c r="CX322" s="217"/>
      <c r="CY322" s="217"/>
      <c r="CZ322" s="217"/>
      <c r="DA322" s="229"/>
      <c r="DB322" s="217"/>
      <c r="DC322" s="217"/>
      <c r="DD322" s="217"/>
      <c r="DE322" s="217"/>
      <c r="DF322" s="217"/>
      <c r="DG322" s="229"/>
      <c r="DH322" s="217"/>
      <c r="DI322" s="217"/>
      <c r="DJ322" s="217"/>
      <c r="DK322" s="217"/>
      <c r="DL322" s="217"/>
      <c r="DM322" s="229"/>
      <c r="DN322" s="217"/>
      <c r="DO322" s="217"/>
      <c r="DP322" s="217"/>
      <c r="DQ322" s="217"/>
      <c r="DR322" s="217"/>
      <c r="DS322" s="229"/>
      <c r="DT322" s="229"/>
      <c r="DU322" s="229"/>
      <c r="DV322" s="217"/>
      <c r="DW322" s="217"/>
      <c r="DX322" s="230"/>
      <c r="DY322" s="231"/>
      <c r="DZ322" s="231"/>
      <c r="EA322" s="230"/>
      <c r="EB322" s="232"/>
      <c r="EC322" s="217"/>
      <c r="ED322" s="233"/>
      <c r="EE322" s="234"/>
      <c r="EF322" s="235"/>
      <c r="EG322" s="233"/>
      <c r="EH322" s="236"/>
      <c r="EI322" s="217"/>
      <c r="EJ322" s="237"/>
      <c r="EK322" s="217"/>
      <c r="EL322" s="217"/>
      <c r="EM322" s="238"/>
      <c r="EN322" s="236"/>
      <c r="EO322" s="239"/>
      <c r="EP322" s="236"/>
      <c r="EQ322" s="217"/>
      <c r="ER322" s="217"/>
      <c r="ES322" s="236"/>
      <c r="ET322" s="236"/>
      <c r="EU322" s="236"/>
      <c r="EV322" s="239"/>
      <c r="EW322" s="236"/>
      <c r="EX322" s="217"/>
      <c r="EY322" s="240"/>
      <c r="EZ322" s="241"/>
      <c r="FA322" s="240"/>
      <c r="FB322" s="241"/>
      <c r="FC322" s="240"/>
      <c r="FD322" s="217"/>
      <c r="FE322" s="240"/>
      <c r="FF322" s="217"/>
      <c r="FG322" s="217"/>
      <c r="FH322" s="217"/>
      <c r="FI322" s="217"/>
      <c r="FJ322" s="217"/>
      <c r="FK322" s="240"/>
      <c r="FL322" s="217"/>
      <c r="FM322" s="240"/>
      <c r="FN322" s="217"/>
      <c r="FO322" s="240"/>
      <c r="FP322" s="217"/>
      <c r="FQ322" s="240"/>
      <c r="FR322" s="217"/>
      <c r="FS322" s="236"/>
      <c r="FT322" s="236"/>
      <c r="FU322" s="236"/>
      <c r="FV322" s="236"/>
      <c r="FW322" s="239"/>
      <c r="FX322" s="236"/>
      <c r="FY322" s="217"/>
      <c r="FZ322" s="240"/>
      <c r="GA322" s="217"/>
      <c r="GB322" s="242"/>
      <c r="GC322" s="217"/>
      <c r="GD322" s="240"/>
      <c r="GE322" s="240"/>
      <c r="GF322" s="240"/>
      <c r="GG322" s="240"/>
      <c r="GH322" s="240"/>
      <c r="GI322" s="217"/>
      <c r="GJ322" s="217"/>
      <c r="GK322" s="239"/>
      <c r="GL322" s="243"/>
    </row>
    <row r="323" ht="15.75" customHeight="1">
      <c r="A323" s="266" t="s">
        <v>427</v>
      </c>
      <c r="B323" s="267">
        <v>1765325.0</v>
      </c>
      <c r="C323" s="268" t="s">
        <v>1853</v>
      </c>
      <c r="D323" s="260"/>
      <c r="E323" s="266" t="s">
        <v>325</v>
      </c>
      <c r="F323" s="269" t="s">
        <v>1854</v>
      </c>
      <c r="G323" s="269" t="s">
        <v>1855</v>
      </c>
      <c r="H323" s="270">
        <v>43924.0</v>
      </c>
      <c r="I323" s="268" t="s">
        <v>1856</v>
      </c>
      <c r="J323" s="268" t="s">
        <v>1853</v>
      </c>
      <c r="K323" s="266" t="s">
        <v>436</v>
      </c>
      <c r="L323" s="266" t="s">
        <v>390</v>
      </c>
      <c r="M323" s="266" t="s">
        <v>31</v>
      </c>
      <c r="N323" s="266" t="s">
        <v>32</v>
      </c>
      <c r="O323" s="266" t="s">
        <v>35</v>
      </c>
      <c r="P323" s="217"/>
      <c r="Q323" s="266" t="s">
        <v>169</v>
      </c>
      <c r="R323" s="271">
        <v>1.5</v>
      </c>
      <c r="S323" s="265"/>
      <c r="T323" s="220"/>
      <c r="U323" s="220"/>
      <c r="V323" s="221"/>
      <c r="W323" s="220"/>
      <c r="X323" s="222"/>
      <c r="Y323" s="222"/>
      <c r="Z323" s="266" t="s">
        <v>36</v>
      </c>
      <c r="AA323" s="266" t="s">
        <v>87</v>
      </c>
      <c r="AB323" s="266" t="s">
        <v>38</v>
      </c>
      <c r="AC323" s="266" t="s">
        <v>469</v>
      </c>
      <c r="AD323" s="266" t="s">
        <v>89</v>
      </c>
      <c r="AE323" s="266" t="s">
        <v>39</v>
      </c>
      <c r="AF323" s="266" t="s">
        <v>469</v>
      </c>
      <c r="AG323" s="272">
        <v>7.245E8</v>
      </c>
      <c r="AH323" s="273" t="s">
        <v>276</v>
      </c>
      <c r="AI323" s="272">
        <v>3.78E7</v>
      </c>
      <c r="AJ323" s="273" t="s">
        <v>344</v>
      </c>
      <c r="AK323" s="274">
        <v>0.2</v>
      </c>
      <c r="AL323" s="267" t="s">
        <v>112</v>
      </c>
      <c r="AM323" s="267">
        <v>11.0</v>
      </c>
      <c r="AN323" s="266" t="s">
        <v>89</v>
      </c>
      <c r="AO323" s="266" t="s">
        <v>89</v>
      </c>
      <c r="AP323" s="266" t="s">
        <v>40</v>
      </c>
      <c r="AQ323" s="268" t="s">
        <v>89</v>
      </c>
      <c r="AR323" s="268" t="s">
        <v>39</v>
      </c>
      <c r="AS323" s="266" t="s">
        <v>469</v>
      </c>
      <c r="AT323" s="266" t="s">
        <v>469</v>
      </c>
      <c r="AU323" s="266" t="s">
        <v>493</v>
      </c>
      <c r="AV323" s="266" t="s">
        <v>493</v>
      </c>
      <c r="AW323" s="272">
        <v>128971.0</v>
      </c>
      <c r="AX323" s="272" t="s">
        <v>70</v>
      </c>
      <c r="AY323" s="272">
        <v>12224.0</v>
      </c>
      <c r="AZ323" s="272">
        <v>0.0</v>
      </c>
      <c r="BA323" s="273" t="s">
        <v>62</v>
      </c>
      <c r="BB323" s="275">
        <v>1.0</v>
      </c>
      <c r="BC323" s="266" t="s">
        <v>305</v>
      </c>
      <c r="BD323" s="266" t="s">
        <v>107</v>
      </c>
      <c r="BE323" s="217"/>
      <c r="BF323" s="266" t="s">
        <v>469</v>
      </c>
      <c r="BG323" s="267">
        <v>0.0</v>
      </c>
      <c r="BH323" s="267">
        <v>2.0</v>
      </c>
      <c r="BI323" s="266" t="s">
        <v>469</v>
      </c>
      <c r="BJ323" s="266" t="s">
        <v>493</v>
      </c>
      <c r="BK323" s="266" t="s">
        <v>469</v>
      </c>
      <c r="BL323" s="266" t="s">
        <v>469</v>
      </c>
      <c r="BM323" s="267">
        <v>1.0</v>
      </c>
      <c r="BN323" s="267">
        <v>3.0</v>
      </c>
      <c r="BO323" s="267">
        <v>0.0</v>
      </c>
      <c r="BP323" s="267">
        <v>0.0</v>
      </c>
      <c r="BQ323" s="229"/>
      <c r="BR323" s="267">
        <v>0.0</v>
      </c>
      <c r="BS323" s="267">
        <v>0.0</v>
      </c>
      <c r="BT323" s="267">
        <v>0.0</v>
      </c>
      <c r="BU323" s="267">
        <v>38.0</v>
      </c>
      <c r="BV323" s="266" t="s">
        <v>493</v>
      </c>
      <c r="BW323" s="229"/>
      <c r="BX323" s="267">
        <v>13.0</v>
      </c>
      <c r="BY323" s="267">
        <v>0.0</v>
      </c>
      <c r="BZ323" s="267">
        <v>0.0</v>
      </c>
      <c r="CA323" s="217"/>
      <c r="CB323" s="266" t="s">
        <v>469</v>
      </c>
      <c r="CC323" s="229"/>
      <c r="CD323" s="217"/>
      <c r="CE323" s="217"/>
      <c r="CF323" s="217"/>
      <c r="CG323" s="217"/>
      <c r="CH323" s="217"/>
      <c r="CI323" s="229"/>
      <c r="CJ323" s="217"/>
      <c r="CK323" s="217"/>
      <c r="CL323" s="217"/>
      <c r="CM323" s="217"/>
      <c r="CN323" s="217"/>
      <c r="CO323" s="229"/>
      <c r="CP323" s="217"/>
      <c r="CQ323" s="217"/>
      <c r="CR323" s="217"/>
      <c r="CS323" s="217"/>
      <c r="CT323" s="217"/>
      <c r="CU323" s="229"/>
      <c r="CV323" s="217"/>
      <c r="CW323" s="217"/>
      <c r="CX323" s="217"/>
      <c r="CY323" s="217"/>
      <c r="CZ323" s="217"/>
      <c r="DA323" s="229"/>
      <c r="DB323" s="217"/>
      <c r="DC323" s="217"/>
      <c r="DD323" s="217"/>
      <c r="DE323" s="217"/>
      <c r="DF323" s="217"/>
      <c r="DG323" s="229"/>
      <c r="DH323" s="217"/>
      <c r="DI323" s="217"/>
      <c r="DJ323" s="217"/>
      <c r="DK323" s="217"/>
      <c r="DL323" s="217"/>
      <c r="DM323" s="229"/>
      <c r="DN323" s="217"/>
      <c r="DO323" s="217"/>
      <c r="DP323" s="217"/>
      <c r="DQ323" s="217"/>
      <c r="DR323" s="217"/>
      <c r="DS323" s="229"/>
      <c r="DT323" s="229"/>
      <c r="DU323" s="229"/>
      <c r="DV323" s="217"/>
      <c r="DW323" s="217"/>
      <c r="DX323" s="230"/>
      <c r="DY323" s="231"/>
      <c r="DZ323" s="231"/>
      <c r="EA323" s="230"/>
      <c r="EB323" s="232"/>
      <c r="EC323" s="217"/>
      <c r="ED323" s="233"/>
      <c r="EE323" s="234"/>
      <c r="EF323" s="235"/>
      <c r="EG323" s="233"/>
      <c r="EH323" s="236"/>
      <c r="EI323" s="217"/>
      <c r="EJ323" s="237"/>
      <c r="EK323" s="217"/>
      <c r="EL323" s="217"/>
      <c r="EM323" s="238"/>
      <c r="EN323" s="236"/>
      <c r="EO323" s="239"/>
      <c r="EP323" s="236"/>
      <c r="EQ323" s="217"/>
      <c r="ER323" s="217"/>
      <c r="ES323" s="236"/>
      <c r="ET323" s="236"/>
      <c r="EU323" s="236"/>
      <c r="EV323" s="239"/>
      <c r="EW323" s="236"/>
      <c r="EX323" s="217"/>
      <c r="EY323" s="240"/>
      <c r="EZ323" s="241"/>
      <c r="FA323" s="240"/>
      <c r="FB323" s="241"/>
      <c r="FC323" s="240"/>
      <c r="FD323" s="217"/>
      <c r="FE323" s="240"/>
      <c r="FF323" s="217"/>
      <c r="FG323" s="217"/>
      <c r="FH323" s="217"/>
      <c r="FI323" s="217"/>
      <c r="FJ323" s="217"/>
      <c r="FK323" s="240"/>
      <c r="FL323" s="217"/>
      <c r="FM323" s="240"/>
      <c r="FN323" s="217"/>
      <c r="FO323" s="240"/>
      <c r="FP323" s="217"/>
      <c r="FQ323" s="240"/>
      <c r="FR323" s="217"/>
      <c r="FS323" s="236"/>
      <c r="FT323" s="236"/>
      <c r="FU323" s="236"/>
      <c r="FV323" s="236"/>
      <c r="FW323" s="239"/>
      <c r="FX323" s="236"/>
      <c r="FY323" s="217"/>
      <c r="FZ323" s="240"/>
      <c r="GA323" s="217"/>
      <c r="GB323" s="242"/>
      <c r="GC323" s="217"/>
      <c r="GD323" s="240"/>
      <c r="GE323" s="240"/>
      <c r="GF323" s="240"/>
      <c r="GG323" s="240"/>
      <c r="GH323" s="240"/>
      <c r="GI323" s="217"/>
      <c r="GJ323" s="217"/>
      <c r="GK323" s="239"/>
      <c r="GL323" s="243"/>
    </row>
    <row r="324" ht="15.75" customHeight="1">
      <c r="A324" s="266" t="s">
        <v>427</v>
      </c>
      <c r="B324" s="267">
        <v>1807930.0</v>
      </c>
      <c r="C324" s="268" t="s">
        <v>1857</v>
      </c>
      <c r="D324" s="260"/>
      <c r="E324" s="266" t="s">
        <v>274</v>
      </c>
      <c r="F324" s="269" t="s">
        <v>1858</v>
      </c>
      <c r="G324" s="269" t="s">
        <v>1859</v>
      </c>
      <c r="H324" s="270">
        <v>43927.0</v>
      </c>
      <c r="I324" s="268" t="s">
        <v>1860</v>
      </c>
      <c r="J324" s="268" t="s">
        <v>1857</v>
      </c>
      <c r="K324" s="266" t="s">
        <v>448</v>
      </c>
      <c r="L324" s="266" t="s">
        <v>390</v>
      </c>
      <c r="M324" s="266" t="s">
        <v>31</v>
      </c>
      <c r="N324" s="266" t="s">
        <v>32</v>
      </c>
      <c r="O324" s="266" t="s">
        <v>35</v>
      </c>
      <c r="P324" s="217"/>
      <c r="Q324" s="266" t="s">
        <v>103</v>
      </c>
      <c r="R324" s="218"/>
      <c r="S324" s="276">
        <v>0.1</v>
      </c>
      <c r="T324" s="220"/>
      <c r="U324" s="220"/>
      <c r="V324" s="221"/>
      <c r="W324" s="220"/>
      <c r="X324" s="222"/>
      <c r="Y324" s="222"/>
      <c r="Z324" s="266" t="s">
        <v>36</v>
      </c>
      <c r="AA324" s="266" t="s">
        <v>87</v>
      </c>
      <c r="AB324" s="266" t="s">
        <v>38</v>
      </c>
      <c r="AC324" s="266" t="s">
        <v>469</v>
      </c>
      <c r="AD324" s="266" t="s">
        <v>89</v>
      </c>
      <c r="AE324" s="266" t="s">
        <v>39</v>
      </c>
      <c r="AF324" s="266" t="s">
        <v>493</v>
      </c>
      <c r="AG324" s="272">
        <v>1.1E9</v>
      </c>
      <c r="AH324" s="273" t="s">
        <v>232</v>
      </c>
      <c r="AI324" s="272">
        <v>5000000.0</v>
      </c>
      <c r="AJ324" s="273" t="s">
        <v>351</v>
      </c>
      <c r="AK324" s="274">
        <v>0.01</v>
      </c>
      <c r="AL324" s="267" t="s">
        <v>95</v>
      </c>
      <c r="AM324" s="267">
        <v>5.0</v>
      </c>
      <c r="AN324" s="266" t="s">
        <v>39</v>
      </c>
      <c r="AO324" s="266" t="s">
        <v>89</v>
      </c>
      <c r="AP324" s="266" t="s">
        <v>40</v>
      </c>
      <c r="AQ324" s="268" t="s">
        <v>89</v>
      </c>
      <c r="AR324" s="268" t="s">
        <v>39</v>
      </c>
      <c r="AS324" s="266" t="s">
        <v>493</v>
      </c>
      <c r="AT324" s="266" t="s">
        <v>469</v>
      </c>
      <c r="AU324" s="266" t="s">
        <v>493</v>
      </c>
      <c r="AV324" s="266" t="s">
        <v>493</v>
      </c>
      <c r="AW324" s="272">
        <v>42714.0</v>
      </c>
      <c r="AX324" s="272" t="s">
        <v>67</v>
      </c>
      <c r="AY324" s="272">
        <v>9647.0</v>
      </c>
      <c r="AZ324" s="272">
        <v>0.0</v>
      </c>
      <c r="BA324" s="273" t="s">
        <v>62</v>
      </c>
      <c r="BB324" s="275">
        <v>1.0</v>
      </c>
      <c r="BC324" s="266" t="s">
        <v>305</v>
      </c>
      <c r="BD324" s="266" t="s">
        <v>107</v>
      </c>
      <c r="BE324" s="217"/>
      <c r="BF324" s="266" t="s">
        <v>469</v>
      </c>
      <c r="BG324" s="267">
        <v>0.0</v>
      </c>
      <c r="BH324" s="267">
        <v>1.0</v>
      </c>
      <c r="BI324" s="266" t="s">
        <v>469</v>
      </c>
      <c r="BJ324" s="266" t="s">
        <v>469</v>
      </c>
      <c r="BK324" s="266" t="s">
        <v>469</v>
      </c>
      <c r="BL324" s="266" t="s">
        <v>469</v>
      </c>
      <c r="BM324" s="267">
        <v>2.0</v>
      </c>
      <c r="BN324" s="267">
        <v>1.0</v>
      </c>
      <c r="BO324" s="267">
        <v>0.0</v>
      </c>
      <c r="BP324" s="267">
        <v>0.0</v>
      </c>
      <c r="BQ324" s="229"/>
      <c r="BR324" s="267">
        <v>6.0</v>
      </c>
      <c r="BS324" s="267">
        <v>0.0</v>
      </c>
      <c r="BT324" s="267">
        <v>0.0</v>
      </c>
      <c r="BU324" s="267">
        <v>40.0</v>
      </c>
      <c r="BV324" s="266" t="s">
        <v>469</v>
      </c>
      <c r="BW324" s="229"/>
      <c r="BX324" s="241"/>
      <c r="BY324" s="241"/>
      <c r="BZ324" s="241"/>
      <c r="CA324" s="217"/>
      <c r="CB324" s="217"/>
      <c r="CC324" s="229"/>
      <c r="CD324" s="217"/>
      <c r="CE324" s="217"/>
      <c r="CF324" s="217"/>
      <c r="CG324" s="217"/>
      <c r="CH324" s="217"/>
      <c r="CI324" s="229"/>
      <c r="CJ324" s="217"/>
      <c r="CK324" s="217"/>
      <c r="CL324" s="217"/>
      <c r="CM324" s="217"/>
      <c r="CN324" s="217"/>
      <c r="CO324" s="229"/>
      <c r="CP324" s="217"/>
      <c r="CQ324" s="217"/>
      <c r="CR324" s="217"/>
      <c r="CS324" s="217"/>
      <c r="CT324" s="217"/>
      <c r="CU324" s="229"/>
      <c r="CV324" s="217"/>
      <c r="CW324" s="217"/>
      <c r="CX324" s="217"/>
      <c r="CY324" s="217"/>
      <c r="CZ324" s="217"/>
      <c r="DA324" s="229"/>
      <c r="DB324" s="217"/>
      <c r="DC324" s="217"/>
      <c r="DD324" s="217"/>
      <c r="DE324" s="217"/>
      <c r="DF324" s="217"/>
      <c r="DG324" s="229"/>
      <c r="DH324" s="217"/>
      <c r="DI324" s="217"/>
      <c r="DJ324" s="217"/>
      <c r="DK324" s="217"/>
      <c r="DL324" s="217"/>
      <c r="DM324" s="229"/>
      <c r="DN324" s="217"/>
      <c r="DO324" s="217"/>
      <c r="DP324" s="217"/>
      <c r="DQ324" s="217"/>
      <c r="DR324" s="217"/>
      <c r="DS324" s="229"/>
      <c r="DT324" s="229"/>
      <c r="DU324" s="229"/>
      <c r="DV324" s="217"/>
      <c r="DW324" s="217"/>
      <c r="DX324" s="230"/>
      <c r="DY324" s="231"/>
      <c r="DZ324" s="231"/>
      <c r="EA324" s="230"/>
      <c r="EB324" s="232"/>
      <c r="EC324" s="217"/>
      <c r="ED324" s="233"/>
      <c r="EE324" s="234"/>
      <c r="EF324" s="235"/>
      <c r="EG324" s="233"/>
      <c r="EH324" s="236"/>
      <c r="EI324" s="217"/>
      <c r="EJ324" s="237"/>
      <c r="EK324" s="217"/>
      <c r="EL324" s="217"/>
      <c r="EM324" s="238"/>
      <c r="EN324" s="236"/>
      <c r="EO324" s="239"/>
      <c r="EP324" s="236"/>
      <c r="EQ324" s="217"/>
      <c r="ER324" s="217"/>
      <c r="ES324" s="236"/>
      <c r="ET324" s="236"/>
      <c r="EU324" s="236"/>
      <c r="EV324" s="239"/>
      <c r="EW324" s="236"/>
      <c r="EX324" s="217"/>
      <c r="EY324" s="240"/>
      <c r="EZ324" s="241"/>
      <c r="FA324" s="240"/>
      <c r="FB324" s="241"/>
      <c r="FC324" s="240"/>
      <c r="FD324" s="217"/>
      <c r="FE324" s="240"/>
      <c r="FF324" s="217"/>
      <c r="FG324" s="217"/>
      <c r="FH324" s="217"/>
      <c r="FI324" s="217"/>
      <c r="FJ324" s="217"/>
      <c r="FK324" s="240"/>
      <c r="FL324" s="217"/>
      <c r="FM324" s="240"/>
      <c r="FN324" s="217"/>
      <c r="FO324" s="240"/>
      <c r="FP324" s="217"/>
      <c r="FQ324" s="240"/>
      <c r="FR324" s="217"/>
      <c r="FS324" s="236"/>
      <c r="FT324" s="236"/>
      <c r="FU324" s="236"/>
      <c r="FV324" s="236"/>
      <c r="FW324" s="239"/>
      <c r="FX324" s="236"/>
      <c r="FY324" s="217"/>
      <c r="FZ324" s="240"/>
      <c r="GA324" s="217"/>
      <c r="GB324" s="242"/>
      <c r="GC324" s="217"/>
      <c r="GD324" s="240"/>
      <c r="GE324" s="240"/>
      <c r="GF324" s="240"/>
      <c r="GG324" s="240"/>
      <c r="GH324" s="240"/>
      <c r="GI324" s="217"/>
      <c r="GJ324" s="217"/>
      <c r="GK324" s="239"/>
      <c r="GL324" s="243"/>
    </row>
    <row r="325" ht="15.75" customHeight="1">
      <c r="A325" s="266" t="s">
        <v>427</v>
      </c>
      <c r="B325" s="267">
        <v>1805122.0</v>
      </c>
      <c r="C325" s="268" t="s">
        <v>1861</v>
      </c>
      <c r="D325" s="260"/>
      <c r="E325" s="266" t="s">
        <v>274</v>
      </c>
      <c r="F325" s="269" t="s">
        <v>1862</v>
      </c>
      <c r="G325" s="269" t="s">
        <v>1863</v>
      </c>
      <c r="H325" s="270">
        <v>43922.0</v>
      </c>
      <c r="I325" s="268" t="s">
        <v>1864</v>
      </c>
      <c r="J325" s="268" t="s">
        <v>1861</v>
      </c>
      <c r="K325" s="266" t="s">
        <v>448</v>
      </c>
      <c r="L325" s="266" t="s">
        <v>390</v>
      </c>
      <c r="M325" s="266" t="s">
        <v>31</v>
      </c>
      <c r="N325" s="266" t="s">
        <v>32</v>
      </c>
      <c r="O325" s="266" t="s">
        <v>35</v>
      </c>
      <c r="P325" s="217"/>
      <c r="Q325" s="266" t="s">
        <v>103</v>
      </c>
      <c r="R325" s="218"/>
      <c r="S325" s="276">
        <v>0.1275</v>
      </c>
      <c r="T325" s="220"/>
      <c r="U325" s="220"/>
      <c r="V325" s="221"/>
      <c r="W325" s="220"/>
      <c r="X325" s="222"/>
      <c r="Y325" s="222"/>
      <c r="Z325" s="266" t="s">
        <v>36</v>
      </c>
      <c r="AA325" s="266" t="s">
        <v>87</v>
      </c>
      <c r="AB325" s="266" t="s">
        <v>38</v>
      </c>
      <c r="AC325" s="266" t="s">
        <v>469</v>
      </c>
      <c r="AD325" s="266" t="s">
        <v>89</v>
      </c>
      <c r="AE325" s="266" t="s">
        <v>39</v>
      </c>
      <c r="AF325" s="266" t="s">
        <v>469</v>
      </c>
      <c r="AG325" s="272">
        <v>2.62E10</v>
      </c>
      <c r="AH325" s="273" t="s">
        <v>160</v>
      </c>
      <c r="AI325" s="272">
        <v>3.0E9</v>
      </c>
      <c r="AJ325" s="273" t="s">
        <v>232</v>
      </c>
      <c r="AK325" s="274">
        <v>0.058</v>
      </c>
      <c r="AL325" s="267" t="s">
        <v>95</v>
      </c>
      <c r="AM325" s="267">
        <v>2.0</v>
      </c>
      <c r="AN325" s="266" t="s">
        <v>89</v>
      </c>
      <c r="AO325" s="266" t="s">
        <v>89</v>
      </c>
      <c r="AP325" s="266" t="s">
        <v>40</v>
      </c>
      <c r="AQ325" s="268" t="s">
        <v>89</v>
      </c>
      <c r="AR325" s="268" t="s">
        <v>39</v>
      </c>
      <c r="AS325" s="266" t="s">
        <v>469</v>
      </c>
      <c r="AT325" s="266" t="s">
        <v>469</v>
      </c>
      <c r="AU325" s="266" t="s">
        <v>493</v>
      </c>
      <c r="AV325" s="266" t="s">
        <v>493</v>
      </c>
      <c r="AW325" s="272">
        <v>800.0</v>
      </c>
      <c r="AX325" s="272" t="s">
        <v>62</v>
      </c>
      <c r="AY325" s="272">
        <v>832.0</v>
      </c>
      <c r="AZ325" s="272">
        <v>0.0</v>
      </c>
      <c r="BA325" s="273" t="s">
        <v>62</v>
      </c>
      <c r="BB325" s="275">
        <v>1.0</v>
      </c>
      <c r="BC325" s="266" t="s">
        <v>305</v>
      </c>
      <c r="BD325" s="266" t="s">
        <v>107</v>
      </c>
      <c r="BE325" s="217"/>
      <c r="BF325" s="266" t="s">
        <v>469</v>
      </c>
      <c r="BG325" s="267">
        <v>0.0</v>
      </c>
      <c r="BH325" s="267">
        <v>1.0</v>
      </c>
      <c r="BI325" s="266" t="s">
        <v>469</v>
      </c>
      <c r="BJ325" s="266" t="s">
        <v>469</v>
      </c>
      <c r="BK325" s="266" t="s">
        <v>493</v>
      </c>
      <c r="BL325" s="266" t="s">
        <v>469</v>
      </c>
      <c r="BM325" s="267">
        <v>0.0</v>
      </c>
      <c r="BN325" s="267">
        <v>9.0</v>
      </c>
      <c r="BO325" s="267">
        <v>0.0</v>
      </c>
      <c r="BP325" s="267">
        <v>0.0</v>
      </c>
      <c r="BQ325" s="229"/>
      <c r="BR325" s="267">
        <v>0.0</v>
      </c>
      <c r="BS325" s="267">
        <v>0.0</v>
      </c>
      <c r="BT325" s="267">
        <v>0.0</v>
      </c>
      <c r="BU325" s="267">
        <v>34.0</v>
      </c>
      <c r="BV325" s="266" t="s">
        <v>469</v>
      </c>
      <c r="BW325" s="229"/>
      <c r="BX325" s="241"/>
      <c r="BY325" s="241"/>
      <c r="BZ325" s="241"/>
      <c r="CA325" s="217"/>
      <c r="CB325" s="217"/>
      <c r="CC325" s="229"/>
      <c r="CD325" s="217"/>
      <c r="CE325" s="217"/>
      <c r="CF325" s="217"/>
      <c r="CG325" s="217"/>
      <c r="CH325" s="217"/>
      <c r="CI325" s="229"/>
      <c r="CJ325" s="217"/>
      <c r="CK325" s="217"/>
      <c r="CL325" s="217"/>
      <c r="CM325" s="217"/>
      <c r="CN325" s="217"/>
      <c r="CO325" s="229"/>
      <c r="CP325" s="217"/>
      <c r="CQ325" s="217"/>
      <c r="CR325" s="217"/>
      <c r="CS325" s="217"/>
      <c r="CT325" s="217"/>
      <c r="CU325" s="229"/>
      <c r="CV325" s="217"/>
      <c r="CW325" s="217"/>
      <c r="CX325" s="217"/>
      <c r="CY325" s="217"/>
      <c r="CZ325" s="217"/>
      <c r="DA325" s="229"/>
      <c r="DB325" s="217"/>
      <c r="DC325" s="217"/>
      <c r="DD325" s="217"/>
      <c r="DE325" s="217"/>
      <c r="DF325" s="217"/>
      <c r="DG325" s="229"/>
      <c r="DH325" s="217"/>
      <c r="DI325" s="217"/>
      <c r="DJ325" s="217"/>
      <c r="DK325" s="217"/>
      <c r="DL325" s="217"/>
      <c r="DM325" s="229"/>
      <c r="DN325" s="217"/>
      <c r="DO325" s="217"/>
      <c r="DP325" s="217"/>
      <c r="DQ325" s="217"/>
      <c r="DR325" s="217"/>
      <c r="DS325" s="229"/>
      <c r="DT325" s="229"/>
      <c r="DU325" s="229"/>
      <c r="DV325" s="217"/>
      <c r="DW325" s="217"/>
      <c r="DX325" s="230"/>
      <c r="DY325" s="231"/>
      <c r="DZ325" s="231"/>
      <c r="EA325" s="230"/>
      <c r="EB325" s="232"/>
      <c r="EC325" s="217"/>
      <c r="ED325" s="233"/>
      <c r="EE325" s="234"/>
      <c r="EF325" s="235"/>
      <c r="EG325" s="233"/>
      <c r="EH325" s="236"/>
      <c r="EI325" s="217"/>
      <c r="EJ325" s="237"/>
      <c r="EK325" s="217"/>
      <c r="EL325" s="217"/>
      <c r="EM325" s="238"/>
      <c r="EN325" s="236"/>
      <c r="EO325" s="239"/>
      <c r="EP325" s="236"/>
      <c r="EQ325" s="217"/>
      <c r="ER325" s="217"/>
      <c r="ES325" s="236"/>
      <c r="ET325" s="236"/>
      <c r="EU325" s="236"/>
      <c r="EV325" s="239"/>
      <c r="EW325" s="236"/>
      <c r="EX325" s="217"/>
      <c r="EY325" s="240"/>
      <c r="EZ325" s="241"/>
      <c r="FA325" s="240"/>
      <c r="FB325" s="241"/>
      <c r="FC325" s="240"/>
      <c r="FD325" s="217"/>
      <c r="FE325" s="240"/>
      <c r="FF325" s="217"/>
      <c r="FG325" s="217"/>
      <c r="FH325" s="217"/>
      <c r="FI325" s="217"/>
      <c r="FJ325" s="217"/>
      <c r="FK325" s="240"/>
      <c r="FL325" s="217"/>
      <c r="FM325" s="240"/>
      <c r="FN325" s="217"/>
      <c r="FO325" s="240"/>
      <c r="FP325" s="217"/>
      <c r="FQ325" s="240"/>
      <c r="FR325" s="217"/>
      <c r="FS325" s="236"/>
      <c r="FT325" s="236"/>
      <c r="FU325" s="236"/>
      <c r="FV325" s="236"/>
      <c r="FW325" s="239"/>
      <c r="FX325" s="236"/>
      <c r="FY325" s="217"/>
      <c r="FZ325" s="240"/>
      <c r="GA325" s="217"/>
      <c r="GB325" s="242"/>
      <c r="GC325" s="217"/>
      <c r="GD325" s="240"/>
      <c r="GE325" s="240"/>
      <c r="GF325" s="240"/>
      <c r="GG325" s="240"/>
      <c r="GH325" s="240"/>
      <c r="GI325" s="217"/>
      <c r="GJ325" s="217"/>
      <c r="GK325" s="239"/>
      <c r="GL325" s="243"/>
    </row>
    <row r="326" ht="15.75" customHeight="1">
      <c r="A326" s="266" t="s">
        <v>681</v>
      </c>
      <c r="B326" s="267">
        <v>1807932.0</v>
      </c>
      <c r="C326" s="268" t="s">
        <v>1865</v>
      </c>
      <c r="D326" s="260"/>
      <c r="E326" s="266" t="s">
        <v>325</v>
      </c>
      <c r="F326" s="269" t="s">
        <v>1866</v>
      </c>
      <c r="G326" s="269" t="s">
        <v>1867</v>
      </c>
      <c r="H326" s="270">
        <v>43917.0</v>
      </c>
      <c r="I326" s="268" t="s">
        <v>1868</v>
      </c>
      <c r="J326" s="268" t="s">
        <v>1865</v>
      </c>
      <c r="K326" s="266" t="s">
        <v>491</v>
      </c>
      <c r="L326" s="266" t="s">
        <v>390</v>
      </c>
      <c r="M326" s="266" t="s">
        <v>31</v>
      </c>
      <c r="N326" s="266" t="s">
        <v>82</v>
      </c>
      <c r="O326" s="266" t="s">
        <v>35</v>
      </c>
      <c r="P326" s="217"/>
      <c r="Q326" s="266" t="s">
        <v>169</v>
      </c>
      <c r="R326" s="271">
        <v>2.0</v>
      </c>
      <c r="S326" s="265"/>
      <c r="T326" s="220"/>
      <c r="U326" s="220"/>
      <c r="V326" s="221"/>
      <c r="W326" s="220"/>
      <c r="X326" s="277">
        <v>0.0</v>
      </c>
      <c r="Y326" s="278" t="s">
        <v>69</v>
      </c>
      <c r="Z326" s="266" t="s">
        <v>36</v>
      </c>
      <c r="AA326" s="266" t="s">
        <v>87</v>
      </c>
      <c r="AB326" s="266" t="s">
        <v>38</v>
      </c>
      <c r="AC326" s="266" t="s">
        <v>469</v>
      </c>
      <c r="AD326" s="266" t="s">
        <v>89</v>
      </c>
      <c r="AE326" s="266" t="s">
        <v>39</v>
      </c>
      <c r="AF326" s="229"/>
      <c r="AG326" s="272">
        <v>5.0E10</v>
      </c>
      <c r="AH326" s="273" t="s">
        <v>140</v>
      </c>
      <c r="AI326" s="272">
        <v>1.0E7</v>
      </c>
      <c r="AJ326" s="273" t="s">
        <v>351</v>
      </c>
      <c r="AK326" s="274">
        <v>0.04</v>
      </c>
      <c r="AL326" s="267" t="s">
        <v>95</v>
      </c>
      <c r="AM326" s="267">
        <v>50.0</v>
      </c>
      <c r="AN326" s="266" t="s">
        <v>89</v>
      </c>
      <c r="AO326" s="266" t="s">
        <v>89</v>
      </c>
      <c r="AP326" s="266" t="s">
        <v>40</v>
      </c>
      <c r="AQ326" s="268" t="s">
        <v>39</v>
      </c>
      <c r="AR326" s="268" t="s">
        <v>39</v>
      </c>
      <c r="AS326" s="266" t="s">
        <v>469</v>
      </c>
      <c r="AT326" s="266" t="s">
        <v>469</v>
      </c>
      <c r="AU326" s="266" t="s">
        <v>493</v>
      </c>
      <c r="AV326" s="266" t="s">
        <v>493</v>
      </c>
      <c r="AW326" s="272">
        <v>86824.0</v>
      </c>
      <c r="AX326" s="272" t="s">
        <v>68</v>
      </c>
      <c r="AY326" s="272">
        <v>0.0</v>
      </c>
      <c r="AZ326" s="272">
        <v>0.0</v>
      </c>
      <c r="BA326" s="273" t="s">
        <v>62</v>
      </c>
      <c r="BB326" s="275">
        <v>1.0</v>
      </c>
      <c r="BC326" s="266" t="s">
        <v>305</v>
      </c>
      <c r="BD326" s="266" t="s">
        <v>124</v>
      </c>
      <c r="BE326" s="217"/>
      <c r="BF326" s="266" t="s">
        <v>469</v>
      </c>
      <c r="BG326" s="267">
        <v>0.0</v>
      </c>
      <c r="BH326" s="267">
        <v>1.0</v>
      </c>
      <c r="BI326" s="266" t="s">
        <v>469</v>
      </c>
      <c r="BJ326" s="266" t="s">
        <v>469</v>
      </c>
      <c r="BK326" s="266" t="s">
        <v>469</v>
      </c>
      <c r="BL326" s="266" t="s">
        <v>469</v>
      </c>
      <c r="BM326" s="267">
        <v>3.0</v>
      </c>
      <c r="BN326" s="267">
        <v>1.0</v>
      </c>
      <c r="BO326" s="267">
        <v>0.0</v>
      </c>
      <c r="BP326" s="267">
        <v>0.0</v>
      </c>
      <c r="BQ326" s="229"/>
      <c r="BR326" s="267">
        <v>3.0</v>
      </c>
      <c r="BS326" s="267">
        <v>0.0</v>
      </c>
      <c r="BT326" s="267">
        <v>0.0</v>
      </c>
      <c r="BU326" s="267">
        <v>30.0</v>
      </c>
      <c r="BV326" s="266" t="s">
        <v>469</v>
      </c>
      <c r="BW326" s="229"/>
      <c r="BX326" s="241"/>
      <c r="BY326" s="241"/>
      <c r="BZ326" s="241"/>
      <c r="CA326" s="217"/>
      <c r="CB326" s="217"/>
      <c r="CC326" s="229"/>
      <c r="CD326" s="217"/>
      <c r="CE326" s="217"/>
      <c r="CF326" s="217"/>
      <c r="CG326" s="217"/>
      <c r="CH326" s="217"/>
      <c r="CI326" s="229"/>
      <c r="CJ326" s="217"/>
      <c r="CK326" s="217"/>
      <c r="CL326" s="217"/>
      <c r="CM326" s="217"/>
      <c r="CN326" s="217"/>
      <c r="CO326" s="229"/>
      <c r="CP326" s="217"/>
      <c r="CQ326" s="217"/>
      <c r="CR326" s="217"/>
      <c r="CS326" s="217"/>
      <c r="CT326" s="217"/>
      <c r="CU326" s="229"/>
      <c r="CV326" s="217"/>
      <c r="CW326" s="217"/>
      <c r="CX326" s="217"/>
      <c r="CY326" s="217"/>
      <c r="CZ326" s="217"/>
      <c r="DA326" s="229"/>
      <c r="DB326" s="217"/>
      <c r="DC326" s="217"/>
      <c r="DD326" s="217"/>
      <c r="DE326" s="217"/>
      <c r="DF326" s="217"/>
      <c r="DG326" s="229"/>
      <c r="DH326" s="217"/>
      <c r="DI326" s="217"/>
      <c r="DJ326" s="217"/>
      <c r="DK326" s="217"/>
      <c r="DL326" s="217"/>
      <c r="DM326" s="229"/>
      <c r="DN326" s="217"/>
      <c r="DO326" s="217"/>
      <c r="DP326" s="217"/>
      <c r="DQ326" s="217"/>
      <c r="DR326" s="217"/>
      <c r="DS326" s="229"/>
      <c r="DT326" s="229"/>
      <c r="DU326" s="229"/>
      <c r="DV326" s="217"/>
      <c r="DW326" s="217"/>
      <c r="DX326" s="230"/>
      <c r="DY326" s="231"/>
      <c r="DZ326" s="231"/>
      <c r="EA326" s="230"/>
      <c r="EB326" s="232"/>
      <c r="EC326" s="217"/>
      <c r="ED326" s="233"/>
      <c r="EE326" s="234"/>
      <c r="EF326" s="235"/>
      <c r="EG326" s="233"/>
      <c r="EH326" s="236"/>
      <c r="EI326" s="217"/>
      <c r="EJ326" s="237"/>
      <c r="EK326" s="217"/>
      <c r="EL326" s="217"/>
      <c r="EM326" s="238"/>
      <c r="EN326" s="236"/>
      <c r="EO326" s="239"/>
      <c r="EP326" s="236"/>
      <c r="EQ326" s="217"/>
      <c r="ER326" s="217"/>
      <c r="ES326" s="236"/>
      <c r="ET326" s="236"/>
      <c r="EU326" s="236"/>
      <c r="EV326" s="239"/>
      <c r="EW326" s="236"/>
      <c r="EX326" s="217"/>
      <c r="EY326" s="240"/>
      <c r="EZ326" s="241"/>
      <c r="FA326" s="240"/>
      <c r="FB326" s="241"/>
      <c r="FC326" s="240"/>
      <c r="FD326" s="217"/>
      <c r="FE326" s="240"/>
      <c r="FF326" s="217"/>
      <c r="FG326" s="217"/>
      <c r="FH326" s="217"/>
      <c r="FI326" s="217"/>
      <c r="FJ326" s="217"/>
      <c r="FK326" s="240"/>
      <c r="FL326" s="217"/>
      <c r="FM326" s="240"/>
      <c r="FN326" s="217"/>
      <c r="FO326" s="240"/>
      <c r="FP326" s="217"/>
      <c r="FQ326" s="240"/>
      <c r="FR326" s="217"/>
      <c r="FS326" s="236"/>
      <c r="FT326" s="236"/>
      <c r="FU326" s="236"/>
      <c r="FV326" s="236"/>
      <c r="FW326" s="239"/>
      <c r="FX326" s="236"/>
      <c r="FY326" s="217"/>
      <c r="FZ326" s="240"/>
      <c r="GA326" s="217"/>
      <c r="GB326" s="242"/>
      <c r="GC326" s="217"/>
      <c r="GD326" s="240"/>
      <c r="GE326" s="240"/>
      <c r="GF326" s="240"/>
      <c r="GG326" s="240"/>
      <c r="GH326" s="240"/>
      <c r="GI326" s="217"/>
      <c r="GJ326" s="217"/>
      <c r="GK326" s="239"/>
      <c r="GL326" s="243"/>
    </row>
    <row r="327" ht="15.75" customHeight="1">
      <c r="A327" s="266" t="s">
        <v>681</v>
      </c>
      <c r="B327" s="267">
        <v>1807941.0</v>
      </c>
      <c r="C327" s="268" t="s">
        <v>1869</v>
      </c>
      <c r="D327" s="260"/>
      <c r="E327" s="266" t="s">
        <v>274</v>
      </c>
      <c r="F327" s="269" t="s">
        <v>1870</v>
      </c>
      <c r="G327" s="269" t="s">
        <v>1871</v>
      </c>
      <c r="H327" s="270">
        <v>43920.0</v>
      </c>
      <c r="I327" s="268" t="s">
        <v>1872</v>
      </c>
      <c r="J327" s="268" t="s">
        <v>1869</v>
      </c>
      <c r="K327" s="266" t="s">
        <v>542</v>
      </c>
      <c r="L327" s="266" t="s">
        <v>167</v>
      </c>
      <c r="M327" s="266" t="s">
        <v>31</v>
      </c>
      <c r="N327" s="266" t="s">
        <v>82</v>
      </c>
      <c r="O327" s="266" t="s">
        <v>35</v>
      </c>
      <c r="P327" s="217"/>
      <c r="Q327" s="266" t="s">
        <v>103</v>
      </c>
      <c r="R327" s="218"/>
      <c r="S327" s="276">
        <v>0.07</v>
      </c>
      <c r="T327" s="220"/>
      <c r="U327" s="220"/>
      <c r="V327" s="221"/>
      <c r="W327" s="220"/>
      <c r="X327" s="277">
        <v>0.0</v>
      </c>
      <c r="Y327" s="278" t="s">
        <v>69</v>
      </c>
      <c r="Z327" s="266" t="s">
        <v>36</v>
      </c>
      <c r="AA327" s="266" t="s">
        <v>37</v>
      </c>
      <c r="AB327" s="266" t="s">
        <v>38</v>
      </c>
      <c r="AC327" s="266" t="s">
        <v>469</v>
      </c>
      <c r="AD327" s="266" t="s">
        <v>89</v>
      </c>
      <c r="AE327" s="266" t="s">
        <v>89</v>
      </c>
      <c r="AF327" s="229"/>
      <c r="AG327" s="272">
        <v>4.0E10</v>
      </c>
      <c r="AH327" s="273" t="s">
        <v>160</v>
      </c>
      <c r="AI327" s="272">
        <v>3.0E8</v>
      </c>
      <c r="AJ327" s="273" t="s">
        <v>319</v>
      </c>
      <c r="AK327" s="274">
        <v>0.05</v>
      </c>
      <c r="AL327" s="267" t="s">
        <v>95</v>
      </c>
      <c r="AM327" s="267">
        <v>10.0</v>
      </c>
      <c r="AN327" s="266" t="s">
        <v>39</v>
      </c>
      <c r="AO327" s="266" t="s">
        <v>89</v>
      </c>
      <c r="AP327" s="266" t="s">
        <v>90</v>
      </c>
      <c r="AQ327" s="268" t="s">
        <v>39</v>
      </c>
      <c r="AR327" s="268" t="s">
        <v>89</v>
      </c>
      <c r="AS327" s="266" t="s">
        <v>493</v>
      </c>
      <c r="AT327" s="266" t="s">
        <v>469</v>
      </c>
      <c r="AU327" s="266" t="s">
        <v>493</v>
      </c>
      <c r="AV327" s="266" t="s">
        <v>493</v>
      </c>
      <c r="AW327" s="272">
        <v>729794.0</v>
      </c>
      <c r="AX327" s="272" t="s">
        <v>71</v>
      </c>
      <c r="AY327" s="272">
        <v>0.0</v>
      </c>
      <c r="AZ327" s="272">
        <v>0.0</v>
      </c>
      <c r="BA327" s="273" t="s">
        <v>62</v>
      </c>
      <c r="BB327" s="275">
        <v>1.0</v>
      </c>
      <c r="BC327" s="266" t="s">
        <v>305</v>
      </c>
      <c r="BD327" s="266" t="s">
        <v>124</v>
      </c>
      <c r="BE327" s="217"/>
      <c r="BF327" s="266" t="s">
        <v>493</v>
      </c>
      <c r="BG327" s="267">
        <v>5.0</v>
      </c>
      <c r="BH327" s="267">
        <v>1.0</v>
      </c>
      <c r="BI327" s="266" t="s">
        <v>469</v>
      </c>
      <c r="BJ327" s="266" t="s">
        <v>493</v>
      </c>
      <c r="BK327" s="266" t="s">
        <v>469</v>
      </c>
      <c r="BL327" s="266" t="s">
        <v>469</v>
      </c>
      <c r="BM327" s="267">
        <v>2.0</v>
      </c>
      <c r="BN327" s="267">
        <v>4.0</v>
      </c>
      <c r="BO327" s="267">
        <v>0.0</v>
      </c>
      <c r="BP327" s="267">
        <v>0.0</v>
      </c>
      <c r="BQ327" s="229"/>
      <c r="BR327" s="267">
        <v>20.0</v>
      </c>
      <c r="BS327" s="267">
        <v>0.0</v>
      </c>
      <c r="BT327" s="267">
        <v>0.0</v>
      </c>
      <c r="BU327" s="267">
        <v>38.0</v>
      </c>
      <c r="BV327" s="266" t="s">
        <v>469</v>
      </c>
      <c r="BW327" s="229"/>
      <c r="BX327" s="241"/>
      <c r="BY327" s="241"/>
      <c r="BZ327" s="241"/>
      <c r="CA327" s="217"/>
      <c r="CB327" s="217"/>
      <c r="CC327" s="229"/>
      <c r="CD327" s="217"/>
      <c r="CE327" s="217"/>
      <c r="CF327" s="217"/>
      <c r="CG327" s="217"/>
      <c r="CH327" s="217"/>
      <c r="CI327" s="229"/>
      <c r="CJ327" s="217"/>
      <c r="CK327" s="217"/>
      <c r="CL327" s="217"/>
      <c r="CM327" s="217"/>
      <c r="CN327" s="217"/>
      <c r="CO327" s="229"/>
      <c r="CP327" s="217"/>
      <c r="CQ327" s="217"/>
      <c r="CR327" s="217"/>
      <c r="CS327" s="217"/>
      <c r="CT327" s="217"/>
      <c r="CU327" s="229"/>
      <c r="CV327" s="217"/>
      <c r="CW327" s="217"/>
      <c r="CX327" s="217"/>
      <c r="CY327" s="217"/>
      <c r="CZ327" s="217"/>
      <c r="DA327" s="229"/>
      <c r="DB327" s="217"/>
      <c r="DC327" s="217"/>
      <c r="DD327" s="217"/>
      <c r="DE327" s="217"/>
      <c r="DF327" s="217"/>
      <c r="DG327" s="229"/>
      <c r="DH327" s="217"/>
      <c r="DI327" s="217"/>
      <c r="DJ327" s="217"/>
      <c r="DK327" s="217"/>
      <c r="DL327" s="217"/>
      <c r="DM327" s="229"/>
      <c r="DN327" s="217"/>
      <c r="DO327" s="217"/>
      <c r="DP327" s="217"/>
      <c r="DQ327" s="217"/>
      <c r="DR327" s="217"/>
      <c r="DS327" s="229"/>
      <c r="DT327" s="229"/>
      <c r="DU327" s="229"/>
      <c r="DV327" s="217"/>
      <c r="DW327" s="217"/>
      <c r="DX327" s="230"/>
      <c r="DY327" s="231"/>
      <c r="DZ327" s="231"/>
      <c r="EA327" s="230"/>
      <c r="EB327" s="232"/>
      <c r="EC327" s="217"/>
      <c r="ED327" s="233"/>
      <c r="EE327" s="234"/>
      <c r="EF327" s="235"/>
      <c r="EG327" s="233"/>
      <c r="EH327" s="236"/>
      <c r="EI327" s="217"/>
      <c r="EJ327" s="237"/>
      <c r="EK327" s="217"/>
      <c r="EL327" s="217"/>
      <c r="EM327" s="238"/>
      <c r="EN327" s="236"/>
      <c r="EO327" s="239"/>
      <c r="EP327" s="236"/>
      <c r="EQ327" s="217"/>
      <c r="ER327" s="217"/>
      <c r="ES327" s="236"/>
      <c r="ET327" s="236"/>
      <c r="EU327" s="236"/>
      <c r="EV327" s="239"/>
      <c r="EW327" s="236"/>
      <c r="EX327" s="217"/>
      <c r="EY327" s="240"/>
      <c r="EZ327" s="241"/>
      <c r="FA327" s="240"/>
      <c r="FB327" s="241"/>
      <c r="FC327" s="240"/>
      <c r="FD327" s="217"/>
      <c r="FE327" s="240"/>
      <c r="FF327" s="217"/>
      <c r="FG327" s="217"/>
      <c r="FH327" s="217"/>
      <c r="FI327" s="217"/>
      <c r="FJ327" s="217"/>
      <c r="FK327" s="240"/>
      <c r="FL327" s="217"/>
      <c r="FM327" s="240"/>
      <c r="FN327" s="217"/>
      <c r="FO327" s="240"/>
      <c r="FP327" s="217"/>
      <c r="FQ327" s="240"/>
      <c r="FR327" s="217"/>
      <c r="FS327" s="236"/>
      <c r="FT327" s="236"/>
      <c r="FU327" s="236"/>
      <c r="FV327" s="236"/>
      <c r="FW327" s="239"/>
      <c r="FX327" s="236"/>
      <c r="FY327" s="217"/>
      <c r="FZ327" s="240"/>
      <c r="GA327" s="217"/>
      <c r="GB327" s="242"/>
      <c r="GC327" s="217"/>
      <c r="GD327" s="240"/>
      <c r="GE327" s="240"/>
      <c r="GF327" s="240"/>
      <c r="GG327" s="240"/>
      <c r="GH327" s="240"/>
      <c r="GI327" s="217"/>
      <c r="GJ327" s="217"/>
      <c r="GK327" s="239"/>
      <c r="GL327" s="243"/>
    </row>
    <row r="328" ht="15.75" customHeight="1">
      <c r="A328" s="266" t="s">
        <v>681</v>
      </c>
      <c r="B328" s="267">
        <v>1807927.0</v>
      </c>
      <c r="C328" s="268" t="s">
        <v>1873</v>
      </c>
      <c r="D328" s="260"/>
      <c r="E328" s="266" t="s">
        <v>325</v>
      </c>
      <c r="F328" s="269" t="s">
        <v>1874</v>
      </c>
      <c r="G328" s="269" t="s">
        <v>1875</v>
      </c>
      <c r="H328" s="270">
        <v>43921.0</v>
      </c>
      <c r="I328" s="268" t="s">
        <v>1876</v>
      </c>
      <c r="J328" s="268" t="s">
        <v>1877</v>
      </c>
      <c r="K328" s="266" t="s">
        <v>448</v>
      </c>
      <c r="L328" s="266" t="s">
        <v>390</v>
      </c>
      <c r="M328" s="266" t="s">
        <v>31</v>
      </c>
      <c r="N328" s="266" t="s">
        <v>82</v>
      </c>
      <c r="O328" s="266" t="s">
        <v>35</v>
      </c>
      <c r="P328" s="217"/>
      <c r="Q328" s="266" t="s">
        <v>169</v>
      </c>
      <c r="R328" s="271">
        <v>1.0</v>
      </c>
      <c r="S328" s="265"/>
      <c r="T328" s="220"/>
      <c r="U328" s="220"/>
      <c r="V328" s="221"/>
      <c r="W328" s="220"/>
      <c r="X328" s="277">
        <v>0.0</v>
      </c>
      <c r="Y328" s="278" t="s">
        <v>69</v>
      </c>
      <c r="Z328" s="266" t="s">
        <v>36</v>
      </c>
      <c r="AA328" s="266" t="s">
        <v>87</v>
      </c>
      <c r="AB328" s="266" t="s">
        <v>38</v>
      </c>
      <c r="AC328" s="266" t="s">
        <v>469</v>
      </c>
      <c r="AD328" s="266" t="s">
        <v>89</v>
      </c>
      <c r="AE328" s="266" t="s">
        <v>39</v>
      </c>
      <c r="AF328" s="229"/>
      <c r="AG328" s="272">
        <v>1.0E10</v>
      </c>
      <c r="AH328" s="273" t="s">
        <v>174</v>
      </c>
      <c r="AI328" s="272">
        <v>5000000.0</v>
      </c>
      <c r="AJ328" s="273" t="s">
        <v>351</v>
      </c>
      <c r="AK328" s="274">
        <v>0.08</v>
      </c>
      <c r="AL328" s="267" t="s">
        <v>95</v>
      </c>
      <c r="AM328" s="267">
        <v>50.0</v>
      </c>
      <c r="AN328" s="266" t="s">
        <v>89</v>
      </c>
      <c r="AO328" s="266" t="s">
        <v>89</v>
      </c>
      <c r="AP328" s="266" t="s">
        <v>40</v>
      </c>
      <c r="AQ328" s="268" t="s">
        <v>89</v>
      </c>
      <c r="AR328" s="268" t="s">
        <v>39</v>
      </c>
      <c r="AS328" s="266" t="s">
        <v>469</v>
      </c>
      <c r="AT328" s="266" t="s">
        <v>469</v>
      </c>
      <c r="AU328" s="266" t="s">
        <v>493</v>
      </c>
      <c r="AV328" s="266" t="s">
        <v>493</v>
      </c>
      <c r="AW328" s="272">
        <v>95113.0</v>
      </c>
      <c r="AX328" s="272" t="s">
        <v>68</v>
      </c>
      <c r="AY328" s="272">
        <v>16635.0</v>
      </c>
      <c r="AZ328" s="272">
        <v>0.0</v>
      </c>
      <c r="BA328" s="273" t="s">
        <v>62</v>
      </c>
      <c r="BB328" s="275">
        <v>1.0</v>
      </c>
      <c r="BC328" s="266" t="s">
        <v>305</v>
      </c>
      <c r="BD328" s="229"/>
      <c r="BE328" s="217"/>
      <c r="BF328" s="266" t="s">
        <v>469</v>
      </c>
      <c r="BG328" s="267">
        <v>0.0</v>
      </c>
      <c r="BH328" s="267">
        <v>2.0</v>
      </c>
      <c r="BI328" s="266" t="s">
        <v>469</v>
      </c>
      <c r="BJ328" s="266" t="s">
        <v>469</v>
      </c>
      <c r="BK328" s="266" t="s">
        <v>469</v>
      </c>
      <c r="BL328" s="266" t="s">
        <v>469</v>
      </c>
      <c r="BM328" s="267">
        <v>2.0</v>
      </c>
      <c r="BN328" s="267">
        <v>8.0</v>
      </c>
      <c r="BO328" s="267">
        <v>0.0</v>
      </c>
      <c r="BP328" s="267">
        <v>0.0</v>
      </c>
      <c r="BQ328" s="229"/>
      <c r="BR328" s="267">
        <v>5.0</v>
      </c>
      <c r="BS328" s="267">
        <v>0.0</v>
      </c>
      <c r="BT328" s="267">
        <v>0.0</v>
      </c>
      <c r="BU328" s="267">
        <v>35.0</v>
      </c>
      <c r="BV328" s="266" t="s">
        <v>469</v>
      </c>
      <c r="BW328" s="229"/>
      <c r="BX328" s="267">
        <v>5.0</v>
      </c>
      <c r="BY328" s="267">
        <v>0.0</v>
      </c>
      <c r="BZ328" s="267">
        <v>0.0</v>
      </c>
      <c r="CA328" s="266">
        <v>40.0</v>
      </c>
      <c r="CB328" s="266" t="s">
        <v>469</v>
      </c>
      <c r="CC328" s="229"/>
      <c r="CD328" s="217"/>
      <c r="CE328" s="217"/>
      <c r="CF328" s="217"/>
      <c r="CG328" s="217"/>
      <c r="CH328" s="217"/>
      <c r="CI328" s="229"/>
      <c r="CJ328" s="217"/>
      <c r="CK328" s="217"/>
      <c r="CL328" s="217"/>
      <c r="CM328" s="217"/>
      <c r="CN328" s="217"/>
      <c r="CO328" s="229"/>
      <c r="CP328" s="217"/>
      <c r="CQ328" s="217"/>
      <c r="CR328" s="217"/>
      <c r="CS328" s="217"/>
      <c r="CT328" s="217"/>
      <c r="CU328" s="229"/>
      <c r="CV328" s="217"/>
      <c r="CW328" s="217"/>
      <c r="CX328" s="217"/>
      <c r="CY328" s="217"/>
      <c r="CZ328" s="217"/>
      <c r="DA328" s="229"/>
      <c r="DB328" s="217"/>
      <c r="DC328" s="217"/>
      <c r="DD328" s="217"/>
      <c r="DE328" s="217"/>
      <c r="DF328" s="217"/>
      <c r="DG328" s="229"/>
      <c r="DH328" s="217"/>
      <c r="DI328" s="217"/>
      <c r="DJ328" s="217"/>
      <c r="DK328" s="217"/>
      <c r="DL328" s="217"/>
      <c r="DM328" s="229"/>
      <c r="DN328" s="217"/>
      <c r="DO328" s="217"/>
      <c r="DP328" s="217"/>
      <c r="DQ328" s="217"/>
      <c r="DR328" s="217"/>
      <c r="DS328" s="229"/>
      <c r="DT328" s="229"/>
      <c r="DU328" s="229"/>
      <c r="DV328" s="217"/>
      <c r="DW328" s="217"/>
      <c r="DX328" s="230"/>
      <c r="DY328" s="231"/>
      <c r="DZ328" s="231"/>
      <c r="EA328" s="230"/>
      <c r="EB328" s="232"/>
      <c r="EC328" s="217"/>
      <c r="ED328" s="233"/>
      <c r="EE328" s="234"/>
      <c r="EF328" s="235"/>
      <c r="EG328" s="233"/>
      <c r="EH328" s="236"/>
      <c r="EI328" s="217"/>
      <c r="EJ328" s="237"/>
      <c r="EK328" s="217"/>
      <c r="EL328" s="217"/>
      <c r="EM328" s="238"/>
      <c r="EN328" s="236"/>
      <c r="EO328" s="239"/>
      <c r="EP328" s="236"/>
      <c r="EQ328" s="217"/>
      <c r="ER328" s="217"/>
      <c r="ES328" s="236"/>
      <c r="ET328" s="236"/>
      <c r="EU328" s="236"/>
      <c r="EV328" s="239"/>
      <c r="EW328" s="236"/>
      <c r="EX328" s="217"/>
      <c r="EY328" s="240"/>
      <c r="EZ328" s="241"/>
      <c r="FA328" s="240"/>
      <c r="FB328" s="241"/>
      <c r="FC328" s="240"/>
      <c r="FD328" s="217"/>
      <c r="FE328" s="240"/>
      <c r="FF328" s="217"/>
      <c r="FG328" s="217"/>
      <c r="FH328" s="217"/>
      <c r="FI328" s="217"/>
      <c r="FJ328" s="217"/>
      <c r="FK328" s="240"/>
      <c r="FL328" s="217"/>
      <c r="FM328" s="240"/>
      <c r="FN328" s="217"/>
      <c r="FO328" s="240"/>
      <c r="FP328" s="217"/>
      <c r="FQ328" s="240"/>
      <c r="FR328" s="217"/>
      <c r="FS328" s="236"/>
      <c r="FT328" s="236"/>
      <c r="FU328" s="236"/>
      <c r="FV328" s="236"/>
      <c r="FW328" s="239"/>
      <c r="FX328" s="236"/>
      <c r="FY328" s="217"/>
      <c r="FZ328" s="240"/>
      <c r="GA328" s="217"/>
      <c r="GB328" s="242"/>
      <c r="GC328" s="217"/>
      <c r="GD328" s="240"/>
      <c r="GE328" s="240"/>
      <c r="GF328" s="240"/>
      <c r="GG328" s="240"/>
      <c r="GH328" s="240"/>
      <c r="GI328" s="217"/>
      <c r="GJ328" s="217"/>
      <c r="GK328" s="239"/>
      <c r="GL328" s="243"/>
    </row>
    <row r="329" ht="15.75" customHeight="1">
      <c r="A329" s="229"/>
      <c r="B329" s="258"/>
      <c r="C329" s="259"/>
      <c r="D329" s="260"/>
      <c r="E329" s="229"/>
      <c r="F329" s="261"/>
      <c r="G329" s="261"/>
      <c r="H329" s="262"/>
      <c r="I329" s="259"/>
      <c r="J329" s="259"/>
      <c r="K329" s="229"/>
      <c r="L329" s="229"/>
      <c r="M329" s="229"/>
      <c r="N329" s="229"/>
      <c r="O329" s="229"/>
      <c r="P329" s="217"/>
      <c r="Q329" s="229"/>
      <c r="R329" s="218"/>
      <c r="S329" s="265"/>
      <c r="T329" s="220"/>
      <c r="U329" s="220"/>
      <c r="V329" s="221"/>
      <c r="W329" s="220"/>
      <c r="X329" s="222"/>
      <c r="Y329" s="222"/>
      <c r="Z329" s="229"/>
      <c r="AA329" s="229"/>
      <c r="AB329" s="229"/>
      <c r="AC329" s="229"/>
      <c r="AD329" s="229"/>
      <c r="AE329" s="229"/>
      <c r="AF329" s="229"/>
      <c r="AG329" s="264"/>
      <c r="AH329" s="224"/>
      <c r="AI329" s="264"/>
      <c r="AJ329" s="224"/>
      <c r="AK329" s="237"/>
      <c r="AL329" s="258"/>
      <c r="AM329" s="258"/>
      <c r="AN329" s="229"/>
      <c r="AO329" s="229"/>
      <c r="AP329" s="229"/>
      <c r="AQ329" s="259"/>
      <c r="AR329" s="259"/>
      <c r="AS329" s="229"/>
      <c r="AT329" s="229"/>
      <c r="AU329" s="229"/>
      <c r="AV329" s="229"/>
      <c r="AW329" s="264"/>
      <c r="AX329" s="264"/>
      <c r="AY329" s="264"/>
      <c r="AZ329" s="264"/>
      <c r="BA329" s="219"/>
      <c r="BB329" s="219"/>
      <c r="BC329" s="229"/>
      <c r="BD329" s="229"/>
      <c r="BE329" s="217"/>
      <c r="BF329" s="229"/>
      <c r="BG329" s="258"/>
      <c r="BH329" s="258"/>
      <c r="BI329" s="229"/>
      <c r="BJ329" s="229"/>
      <c r="BK329" s="229"/>
      <c r="BL329" s="229"/>
      <c r="BM329" s="258"/>
      <c r="BN329" s="258"/>
      <c r="BO329" s="258"/>
      <c r="BP329" s="258"/>
      <c r="BQ329" s="229"/>
      <c r="BR329" s="258"/>
      <c r="BS329" s="258"/>
      <c r="BT329" s="258"/>
      <c r="BU329" s="258"/>
      <c r="BV329" s="229"/>
      <c r="BW329" s="229"/>
      <c r="BX329" s="241"/>
      <c r="BY329" s="241"/>
      <c r="BZ329" s="241"/>
      <c r="CA329" s="217"/>
      <c r="CB329" s="217"/>
      <c r="CC329" s="229"/>
      <c r="CD329" s="217"/>
      <c r="CE329" s="217"/>
      <c r="CF329" s="217"/>
      <c r="CG329" s="217"/>
      <c r="CH329" s="217"/>
      <c r="CI329" s="229"/>
      <c r="CJ329" s="217"/>
      <c r="CK329" s="217"/>
      <c r="CL329" s="217"/>
      <c r="CM329" s="217"/>
      <c r="CN329" s="217"/>
      <c r="CO329" s="229"/>
      <c r="CP329" s="217"/>
      <c r="CQ329" s="217"/>
      <c r="CR329" s="217"/>
      <c r="CS329" s="217"/>
      <c r="CT329" s="217"/>
      <c r="CU329" s="229"/>
      <c r="CV329" s="217"/>
      <c r="CW329" s="217"/>
      <c r="CX329" s="217"/>
      <c r="CY329" s="217"/>
      <c r="CZ329" s="217"/>
      <c r="DA329" s="229"/>
      <c r="DB329" s="217"/>
      <c r="DC329" s="217"/>
      <c r="DD329" s="217"/>
      <c r="DE329" s="217"/>
      <c r="DF329" s="217"/>
      <c r="DG329" s="229"/>
      <c r="DH329" s="217"/>
      <c r="DI329" s="217"/>
      <c r="DJ329" s="217"/>
      <c r="DK329" s="217"/>
      <c r="DL329" s="217"/>
      <c r="DM329" s="229"/>
      <c r="DN329" s="217"/>
      <c r="DO329" s="217"/>
      <c r="DP329" s="217"/>
      <c r="DQ329" s="217"/>
      <c r="DR329" s="217"/>
      <c r="DS329" s="229"/>
      <c r="DT329" s="229"/>
      <c r="DU329" s="229"/>
      <c r="DV329" s="217"/>
      <c r="DW329" s="217"/>
      <c r="DX329" s="230"/>
      <c r="DY329" s="231"/>
      <c r="DZ329" s="231"/>
      <c r="EA329" s="230"/>
      <c r="EB329" s="232"/>
      <c r="EC329" s="217"/>
      <c r="ED329" s="233"/>
      <c r="EE329" s="234"/>
      <c r="EF329" s="235"/>
      <c r="EG329" s="233"/>
      <c r="EH329" s="236"/>
      <c r="EI329" s="217"/>
      <c r="EJ329" s="237"/>
      <c r="EK329" s="217"/>
      <c r="EL329" s="217"/>
      <c r="EM329" s="238"/>
      <c r="EN329" s="236"/>
      <c r="EO329" s="239"/>
      <c r="EP329" s="236"/>
      <c r="EQ329" s="217"/>
      <c r="ER329" s="217"/>
      <c r="ES329" s="236"/>
      <c r="ET329" s="236"/>
      <c r="EU329" s="236"/>
      <c r="EV329" s="239"/>
      <c r="EW329" s="236"/>
      <c r="EX329" s="217"/>
      <c r="EY329" s="240"/>
      <c r="EZ329" s="241"/>
      <c r="FA329" s="240"/>
      <c r="FB329" s="241"/>
      <c r="FC329" s="240"/>
      <c r="FD329" s="217"/>
      <c r="FE329" s="240"/>
      <c r="FF329" s="217"/>
      <c r="FG329" s="217"/>
      <c r="FH329" s="217"/>
      <c r="FI329" s="217"/>
      <c r="FJ329" s="217"/>
      <c r="FK329" s="240"/>
      <c r="FL329" s="217"/>
      <c r="FM329" s="240"/>
      <c r="FN329" s="217"/>
      <c r="FO329" s="240"/>
      <c r="FP329" s="217"/>
      <c r="FQ329" s="240"/>
      <c r="FR329" s="217"/>
      <c r="FS329" s="236"/>
      <c r="FT329" s="236"/>
      <c r="FU329" s="236"/>
      <c r="FV329" s="236"/>
      <c r="FW329" s="239"/>
      <c r="FX329" s="236"/>
      <c r="FY329" s="217"/>
      <c r="FZ329" s="240"/>
      <c r="GA329" s="217"/>
      <c r="GB329" s="242"/>
      <c r="GC329" s="217"/>
      <c r="GD329" s="240"/>
      <c r="GE329" s="240"/>
      <c r="GF329" s="240"/>
      <c r="GG329" s="240"/>
      <c r="GH329" s="240"/>
      <c r="GI329" s="217"/>
      <c r="GJ329" s="217"/>
      <c r="GK329" s="239"/>
      <c r="GL329" s="243"/>
    </row>
    <row r="330" ht="15.75" customHeight="1">
      <c r="A330" s="229"/>
      <c r="B330" s="258"/>
      <c r="C330" s="259"/>
      <c r="D330" s="260"/>
      <c r="E330" s="229"/>
      <c r="F330" s="261"/>
      <c r="G330" s="261"/>
      <c r="H330" s="262"/>
      <c r="I330" s="259"/>
      <c r="J330" s="259"/>
      <c r="K330" s="229"/>
      <c r="L330" s="229"/>
      <c r="M330" s="229"/>
      <c r="N330" s="229"/>
      <c r="O330" s="229"/>
      <c r="P330" s="217"/>
      <c r="Q330" s="229"/>
      <c r="R330" s="218"/>
      <c r="S330" s="265"/>
      <c r="T330" s="220"/>
      <c r="U330" s="220"/>
      <c r="V330" s="221"/>
      <c r="W330" s="220"/>
      <c r="X330" s="222"/>
      <c r="Y330" s="222"/>
      <c r="Z330" s="229"/>
      <c r="AA330" s="229"/>
      <c r="AB330" s="229"/>
      <c r="AC330" s="229"/>
      <c r="AD330" s="229"/>
      <c r="AE330" s="229"/>
      <c r="AF330" s="229"/>
      <c r="AG330" s="264"/>
      <c r="AH330" s="224"/>
      <c r="AI330" s="264"/>
      <c r="AJ330" s="224"/>
      <c r="AK330" s="237"/>
      <c r="AL330" s="258"/>
      <c r="AM330" s="258"/>
      <c r="AN330" s="229"/>
      <c r="AO330" s="229"/>
      <c r="AP330" s="229"/>
      <c r="AQ330" s="259"/>
      <c r="AR330" s="259"/>
      <c r="AS330" s="229"/>
      <c r="AT330" s="229"/>
      <c r="AU330" s="229"/>
      <c r="AV330" s="229"/>
      <c r="AW330" s="264"/>
      <c r="AX330" s="264"/>
      <c r="AY330" s="264"/>
      <c r="AZ330" s="264"/>
      <c r="BA330" s="219"/>
      <c r="BB330" s="219"/>
      <c r="BC330" s="229"/>
      <c r="BD330" s="229"/>
      <c r="BE330" s="217"/>
      <c r="BF330" s="229"/>
      <c r="BG330" s="258"/>
      <c r="BH330" s="258"/>
      <c r="BI330" s="229"/>
      <c r="BJ330" s="229"/>
      <c r="BK330" s="229"/>
      <c r="BL330" s="229"/>
      <c r="BM330" s="258"/>
      <c r="BN330" s="258"/>
      <c r="BO330" s="258"/>
      <c r="BP330" s="258"/>
      <c r="BQ330" s="229"/>
      <c r="BR330" s="258"/>
      <c r="BS330" s="258"/>
      <c r="BT330" s="258"/>
      <c r="BU330" s="258"/>
      <c r="BV330" s="229"/>
      <c r="BW330" s="229"/>
      <c r="BX330" s="241"/>
      <c r="BY330" s="241"/>
      <c r="BZ330" s="241"/>
      <c r="CA330" s="217"/>
      <c r="CB330" s="217"/>
      <c r="CC330" s="229"/>
      <c r="CD330" s="217"/>
      <c r="CE330" s="217"/>
      <c r="CF330" s="217"/>
      <c r="CG330" s="217"/>
      <c r="CH330" s="217"/>
      <c r="CI330" s="229"/>
      <c r="CJ330" s="217"/>
      <c r="CK330" s="217"/>
      <c r="CL330" s="217"/>
      <c r="CM330" s="217"/>
      <c r="CN330" s="217"/>
      <c r="CO330" s="229"/>
      <c r="CP330" s="217"/>
      <c r="CQ330" s="217"/>
      <c r="CR330" s="217"/>
      <c r="CS330" s="217"/>
      <c r="CT330" s="217"/>
      <c r="CU330" s="229"/>
      <c r="CV330" s="217"/>
      <c r="CW330" s="217"/>
      <c r="CX330" s="217"/>
      <c r="CY330" s="217"/>
      <c r="CZ330" s="217"/>
      <c r="DA330" s="229"/>
      <c r="DB330" s="217"/>
      <c r="DC330" s="217"/>
      <c r="DD330" s="217"/>
      <c r="DE330" s="217"/>
      <c r="DF330" s="217"/>
      <c r="DG330" s="229"/>
      <c r="DH330" s="217"/>
      <c r="DI330" s="217"/>
      <c r="DJ330" s="217"/>
      <c r="DK330" s="217"/>
      <c r="DL330" s="217"/>
      <c r="DM330" s="229"/>
      <c r="DN330" s="217"/>
      <c r="DO330" s="217"/>
      <c r="DP330" s="217"/>
      <c r="DQ330" s="217"/>
      <c r="DR330" s="217"/>
      <c r="DS330" s="229"/>
      <c r="DT330" s="229"/>
      <c r="DU330" s="229"/>
      <c r="DV330" s="217"/>
      <c r="DW330" s="217"/>
      <c r="DX330" s="230"/>
      <c r="DY330" s="231"/>
      <c r="DZ330" s="231"/>
      <c r="EA330" s="230"/>
      <c r="EB330" s="232"/>
      <c r="EC330" s="217"/>
      <c r="ED330" s="233"/>
      <c r="EE330" s="234"/>
      <c r="EF330" s="235"/>
      <c r="EG330" s="233"/>
      <c r="EH330" s="236"/>
      <c r="EI330" s="217"/>
      <c r="EJ330" s="237"/>
      <c r="EK330" s="217"/>
      <c r="EL330" s="217"/>
      <c r="EM330" s="238"/>
      <c r="EN330" s="236"/>
      <c r="EO330" s="239"/>
      <c r="EP330" s="236"/>
      <c r="EQ330" s="217"/>
      <c r="ER330" s="217"/>
      <c r="ES330" s="236"/>
      <c r="ET330" s="236"/>
      <c r="EU330" s="236"/>
      <c r="EV330" s="239"/>
      <c r="EW330" s="236"/>
      <c r="EX330" s="217"/>
      <c r="EY330" s="240"/>
      <c r="EZ330" s="241"/>
      <c r="FA330" s="240"/>
      <c r="FB330" s="241"/>
      <c r="FC330" s="240"/>
      <c r="FD330" s="217"/>
      <c r="FE330" s="240"/>
      <c r="FF330" s="217"/>
      <c r="FG330" s="217"/>
      <c r="FH330" s="217"/>
      <c r="FI330" s="217"/>
      <c r="FJ330" s="217"/>
      <c r="FK330" s="240"/>
      <c r="FL330" s="217"/>
      <c r="FM330" s="240"/>
      <c r="FN330" s="217"/>
      <c r="FO330" s="240"/>
      <c r="FP330" s="217"/>
      <c r="FQ330" s="240"/>
      <c r="FR330" s="217"/>
      <c r="FS330" s="236"/>
      <c r="FT330" s="236"/>
      <c r="FU330" s="236"/>
      <c r="FV330" s="236"/>
      <c r="FW330" s="239"/>
      <c r="FX330" s="236"/>
      <c r="FY330" s="217"/>
      <c r="FZ330" s="240"/>
      <c r="GA330" s="217"/>
      <c r="GB330" s="242"/>
      <c r="GC330" s="217"/>
      <c r="GD330" s="240"/>
      <c r="GE330" s="240"/>
      <c r="GF330" s="240"/>
      <c r="GG330" s="240"/>
      <c r="GH330" s="240"/>
      <c r="GI330" s="217"/>
      <c r="GJ330" s="217"/>
      <c r="GK330" s="239"/>
      <c r="GL330" s="243"/>
    </row>
    <row r="331" ht="15.75" customHeight="1">
      <c r="A331" s="229"/>
      <c r="B331" s="258"/>
      <c r="C331" s="259"/>
      <c r="D331" s="260"/>
      <c r="E331" s="229"/>
      <c r="F331" s="261"/>
      <c r="G331" s="261"/>
      <c r="H331" s="262"/>
      <c r="I331" s="259"/>
      <c r="J331" s="259"/>
      <c r="K331" s="229"/>
      <c r="L331" s="229"/>
      <c r="M331" s="229"/>
      <c r="N331" s="229"/>
      <c r="O331" s="229"/>
      <c r="P331" s="217"/>
      <c r="Q331" s="229"/>
      <c r="R331" s="218"/>
      <c r="S331" s="265"/>
      <c r="T331" s="220"/>
      <c r="U331" s="220"/>
      <c r="V331" s="221"/>
      <c r="W331" s="220"/>
      <c r="X331" s="222"/>
      <c r="Y331" s="222"/>
      <c r="Z331" s="229"/>
      <c r="AA331" s="229"/>
      <c r="AB331" s="229"/>
      <c r="AC331" s="229"/>
      <c r="AD331" s="229"/>
      <c r="AE331" s="229"/>
      <c r="AF331" s="229"/>
      <c r="AG331" s="264"/>
      <c r="AH331" s="224"/>
      <c r="AI331" s="264"/>
      <c r="AJ331" s="224"/>
      <c r="AK331" s="237"/>
      <c r="AL331" s="258"/>
      <c r="AM331" s="258"/>
      <c r="AN331" s="229"/>
      <c r="AO331" s="229"/>
      <c r="AP331" s="229"/>
      <c r="AQ331" s="259"/>
      <c r="AR331" s="259"/>
      <c r="AS331" s="229"/>
      <c r="AT331" s="229"/>
      <c r="AU331" s="229"/>
      <c r="AV331" s="229"/>
      <c r="AW331" s="264"/>
      <c r="AX331" s="264"/>
      <c r="AY331" s="264"/>
      <c r="AZ331" s="264"/>
      <c r="BA331" s="219"/>
      <c r="BB331" s="219"/>
      <c r="BC331" s="229"/>
      <c r="BD331" s="229"/>
      <c r="BE331" s="217"/>
      <c r="BF331" s="229"/>
      <c r="BG331" s="258"/>
      <c r="BH331" s="258"/>
      <c r="BI331" s="229"/>
      <c r="BJ331" s="229"/>
      <c r="BK331" s="229"/>
      <c r="BL331" s="229"/>
      <c r="BM331" s="258"/>
      <c r="BN331" s="258"/>
      <c r="BO331" s="258"/>
      <c r="BP331" s="258"/>
      <c r="BQ331" s="229"/>
      <c r="BR331" s="258"/>
      <c r="BS331" s="258"/>
      <c r="BT331" s="258"/>
      <c r="BU331" s="258"/>
      <c r="BV331" s="229"/>
      <c r="BW331" s="229"/>
      <c r="BX331" s="241"/>
      <c r="BY331" s="241"/>
      <c r="BZ331" s="241"/>
      <c r="CA331" s="217"/>
      <c r="CB331" s="217"/>
      <c r="CC331" s="229"/>
      <c r="CD331" s="217"/>
      <c r="CE331" s="217"/>
      <c r="CF331" s="217"/>
      <c r="CG331" s="217"/>
      <c r="CH331" s="217"/>
      <c r="CI331" s="229"/>
      <c r="CJ331" s="217"/>
      <c r="CK331" s="217"/>
      <c r="CL331" s="217"/>
      <c r="CM331" s="217"/>
      <c r="CN331" s="217"/>
      <c r="CO331" s="229"/>
      <c r="CP331" s="217"/>
      <c r="CQ331" s="217"/>
      <c r="CR331" s="217"/>
      <c r="CS331" s="217"/>
      <c r="CT331" s="217"/>
      <c r="CU331" s="229"/>
      <c r="CV331" s="217"/>
      <c r="CW331" s="217"/>
      <c r="CX331" s="217"/>
      <c r="CY331" s="217"/>
      <c r="CZ331" s="217"/>
      <c r="DA331" s="229"/>
      <c r="DB331" s="217"/>
      <c r="DC331" s="217"/>
      <c r="DD331" s="217"/>
      <c r="DE331" s="217"/>
      <c r="DF331" s="217"/>
      <c r="DG331" s="229"/>
      <c r="DH331" s="217"/>
      <c r="DI331" s="217"/>
      <c r="DJ331" s="217"/>
      <c r="DK331" s="217"/>
      <c r="DL331" s="217"/>
      <c r="DM331" s="229"/>
      <c r="DN331" s="217"/>
      <c r="DO331" s="217"/>
      <c r="DP331" s="217"/>
      <c r="DQ331" s="217"/>
      <c r="DR331" s="217"/>
      <c r="DS331" s="229"/>
      <c r="DT331" s="229"/>
      <c r="DU331" s="229"/>
      <c r="DV331" s="217"/>
      <c r="DW331" s="217"/>
      <c r="DX331" s="230"/>
      <c r="DY331" s="231"/>
      <c r="DZ331" s="231"/>
      <c r="EA331" s="230"/>
      <c r="EB331" s="232"/>
      <c r="EC331" s="217"/>
      <c r="ED331" s="233"/>
      <c r="EE331" s="234"/>
      <c r="EF331" s="235"/>
      <c r="EG331" s="233"/>
      <c r="EH331" s="236"/>
      <c r="EI331" s="217"/>
      <c r="EJ331" s="237"/>
      <c r="EK331" s="217"/>
      <c r="EL331" s="217"/>
      <c r="EM331" s="238"/>
      <c r="EN331" s="236"/>
      <c r="EO331" s="239"/>
      <c r="EP331" s="236"/>
      <c r="EQ331" s="217"/>
      <c r="ER331" s="217"/>
      <c r="ES331" s="236"/>
      <c r="ET331" s="236"/>
      <c r="EU331" s="236"/>
      <c r="EV331" s="239"/>
      <c r="EW331" s="236"/>
      <c r="EX331" s="217"/>
      <c r="EY331" s="240"/>
      <c r="EZ331" s="241"/>
      <c r="FA331" s="240"/>
      <c r="FB331" s="241"/>
      <c r="FC331" s="240"/>
      <c r="FD331" s="217"/>
      <c r="FE331" s="240"/>
      <c r="FF331" s="217"/>
      <c r="FG331" s="217"/>
      <c r="FH331" s="217"/>
      <c r="FI331" s="217"/>
      <c r="FJ331" s="217"/>
      <c r="FK331" s="240"/>
      <c r="FL331" s="217"/>
      <c r="FM331" s="240"/>
      <c r="FN331" s="217"/>
      <c r="FO331" s="240"/>
      <c r="FP331" s="217"/>
      <c r="FQ331" s="240"/>
      <c r="FR331" s="217"/>
      <c r="FS331" s="236"/>
      <c r="FT331" s="236"/>
      <c r="FU331" s="236"/>
      <c r="FV331" s="236"/>
      <c r="FW331" s="239"/>
      <c r="FX331" s="236"/>
      <c r="FY331" s="217"/>
      <c r="FZ331" s="240"/>
      <c r="GA331" s="217"/>
      <c r="GB331" s="242"/>
      <c r="GC331" s="217"/>
      <c r="GD331" s="240"/>
      <c r="GE331" s="240"/>
      <c r="GF331" s="240"/>
      <c r="GG331" s="240"/>
      <c r="GH331" s="240"/>
      <c r="GI331" s="217"/>
      <c r="GJ331" s="217"/>
      <c r="GK331" s="239"/>
      <c r="GL331" s="243"/>
    </row>
    <row r="332" ht="15.75" customHeight="1">
      <c r="A332" s="229"/>
      <c r="B332" s="258"/>
      <c r="C332" s="259"/>
      <c r="D332" s="260"/>
      <c r="E332" s="229"/>
      <c r="F332" s="261"/>
      <c r="G332" s="261"/>
      <c r="H332" s="262"/>
      <c r="I332" s="259"/>
      <c r="J332" s="259"/>
      <c r="K332" s="229"/>
      <c r="L332" s="229"/>
      <c r="M332" s="229"/>
      <c r="N332" s="229"/>
      <c r="O332" s="229"/>
      <c r="P332" s="217"/>
      <c r="Q332" s="229"/>
      <c r="R332" s="218"/>
      <c r="S332" s="265"/>
      <c r="T332" s="220"/>
      <c r="U332" s="220"/>
      <c r="V332" s="221"/>
      <c r="W332" s="220"/>
      <c r="X332" s="222"/>
      <c r="Y332" s="222"/>
      <c r="Z332" s="229"/>
      <c r="AA332" s="229"/>
      <c r="AB332" s="229"/>
      <c r="AC332" s="229"/>
      <c r="AD332" s="229"/>
      <c r="AE332" s="229"/>
      <c r="AF332" s="229"/>
      <c r="AG332" s="264"/>
      <c r="AH332" s="224"/>
      <c r="AI332" s="264"/>
      <c r="AJ332" s="224"/>
      <c r="AK332" s="237"/>
      <c r="AL332" s="258"/>
      <c r="AM332" s="258"/>
      <c r="AN332" s="229"/>
      <c r="AO332" s="229"/>
      <c r="AP332" s="229"/>
      <c r="AQ332" s="259"/>
      <c r="AR332" s="259"/>
      <c r="AS332" s="229"/>
      <c r="AT332" s="229"/>
      <c r="AU332" s="229"/>
      <c r="AV332" s="229"/>
      <c r="AW332" s="264"/>
      <c r="AX332" s="264"/>
      <c r="AY332" s="264"/>
      <c r="AZ332" s="264"/>
      <c r="BA332" s="219"/>
      <c r="BB332" s="219"/>
      <c r="BC332" s="229"/>
      <c r="BD332" s="229"/>
      <c r="BE332" s="217"/>
      <c r="BF332" s="229"/>
      <c r="BG332" s="258"/>
      <c r="BH332" s="258"/>
      <c r="BI332" s="229"/>
      <c r="BJ332" s="229"/>
      <c r="BK332" s="229"/>
      <c r="BL332" s="229"/>
      <c r="BM332" s="258"/>
      <c r="BN332" s="258"/>
      <c r="BO332" s="258"/>
      <c r="BP332" s="258"/>
      <c r="BQ332" s="229"/>
      <c r="BR332" s="258"/>
      <c r="BS332" s="258"/>
      <c r="BT332" s="258"/>
      <c r="BU332" s="258"/>
      <c r="BV332" s="229"/>
      <c r="BW332" s="229"/>
      <c r="BX332" s="241"/>
      <c r="BY332" s="241"/>
      <c r="BZ332" s="241"/>
      <c r="CA332" s="217"/>
      <c r="CB332" s="217"/>
      <c r="CC332" s="229"/>
      <c r="CD332" s="217"/>
      <c r="CE332" s="217"/>
      <c r="CF332" s="217"/>
      <c r="CG332" s="217"/>
      <c r="CH332" s="217"/>
      <c r="CI332" s="229"/>
      <c r="CJ332" s="217"/>
      <c r="CK332" s="217"/>
      <c r="CL332" s="217"/>
      <c r="CM332" s="217"/>
      <c r="CN332" s="217"/>
      <c r="CO332" s="229"/>
      <c r="CP332" s="217"/>
      <c r="CQ332" s="217"/>
      <c r="CR332" s="217"/>
      <c r="CS332" s="217"/>
      <c r="CT332" s="217"/>
      <c r="CU332" s="229"/>
      <c r="CV332" s="217"/>
      <c r="CW332" s="217"/>
      <c r="CX332" s="217"/>
      <c r="CY332" s="217"/>
      <c r="CZ332" s="217"/>
      <c r="DA332" s="229"/>
      <c r="DB332" s="217"/>
      <c r="DC332" s="217"/>
      <c r="DD332" s="217"/>
      <c r="DE332" s="217"/>
      <c r="DF332" s="217"/>
      <c r="DG332" s="229"/>
      <c r="DH332" s="217"/>
      <c r="DI332" s="217"/>
      <c r="DJ332" s="217"/>
      <c r="DK332" s="217"/>
      <c r="DL332" s="217"/>
      <c r="DM332" s="229"/>
      <c r="DN332" s="217"/>
      <c r="DO332" s="217"/>
      <c r="DP332" s="217"/>
      <c r="DQ332" s="217"/>
      <c r="DR332" s="217"/>
      <c r="DS332" s="229"/>
      <c r="DT332" s="229"/>
      <c r="DU332" s="229"/>
      <c r="DV332" s="217"/>
      <c r="DW332" s="217"/>
      <c r="DX332" s="230"/>
      <c r="DY332" s="231"/>
      <c r="DZ332" s="231"/>
      <c r="EA332" s="230"/>
      <c r="EB332" s="232"/>
      <c r="EC332" s="217"/>
      <c r="ED332" s="233"/>
      <c r="EE332" s="234"/>
      <c r="EF332" s="235"/>
      <c r="EG332" s="233"/>
      <c r="EH332" s="236"/>
      <c r="EI332" s="217"/>
      <c r="EJ332" s="237"/>
      <c r="EK332" s="217"/>
      <c r="EL332" s="217"/>
      <c r="EM332" s="238"/>
      <c r="EN332" s="236"/>
      <c r="EO332" s="239"/>
      <c r="EP332" s="236"/>
      <c r="EQ332" s="217"/>
      <c r="ER332" s="217"/>
      <c r="ES332" s="236"/>
      <c r="ET332" s="236"/>
      <c r="EU332" s="236"/>
      <c r="EV332" s="239"/>
      <c r="EW332" s="236"/>
      <c r="EX332" s="217"/>
      <c r="EY332" s="240"/>
      <c r="EZ332" s="241"/>
      <c r="FA332" s="240"/>
      <c r="FB332" s="241"/>
      <c r="FC332" s="240"/>
      <c r="FD332" s="217"/>
      <c r="FE332" s="240"/>
      <c r="FF332" s="217"/>
      <c r="FG332" s="217"/>
      <c r="FH332" s="217"/>
      <c r="FI332" s="217"/>
      <c r="FJ332" s="217"/>
      <c r="FK332" s="240"/>
      <c r="FL332" s="217"/>
      <c r="FM332" s="240"/>
      <c r="FN332" s="217"/>
      <c r="FO332" s="240"/>
      <c r="FP332" s="217"/>
      <c r="FQ332" s="240"/>
      <c r="FR332" s="217"/>
      <c r="FS332" s="236"/>
      <c r="FT332" s="236"/>
      <c r="FU332" s="236"/>
      <c r="FV332" s="236"/>
      <c r="FW332" s="239"/>
      <c r="FX332" s="236"/>
      <c r="FY332" s="217"/>
      <c r="FZ332" s="240"/>
      <c r="GA332" s="217"/>
      <c r="GB332" s="242"/>
      <c r="GC332" s="217"/>
      <c r="GD332" s="240"/>
      <c r="GE332" s="240"/>
      <c r="GF332" s="240"/>
      <c r="GG332" s="240"/>
      <c r="GH332" s="240"/>
      <c r="GI332" s="217"/>
      <c r="GJ332" s="217"/>
      <c r="GK332" s="239"/>
      <c r="GL332" s="243"/>
    </row>
    <row r="333" ht="15.75" customHeight="1">
      <c r="A333" s="229"/>
      <c r="B333" s="258"/>
      <c r="C333" s="259"/>
      <c r="D333" s="260"/>
      <c r="E333" s="229"/>
      <c r="F333" s="261"/>
      <c r="G333" s="261"/>
      <c r="H333" s="262"/>
      <c r="I333" s="259"/>
      <c r="J333" s="259"/>
      <c r="K333" s="229"/>
      <c r="L333" s="229"/>
      <c r="M333" s="229"/>
      <c r="N333" s="229"/>
      <c r="O333" s="229"/>
      <c r="P333" s="217"/>
      <c r="Q333" s="229"/>
      <c r="R333" s="218"/>
      <c r="S333" s="265"/>
      <c r="T333" s="220"/>
      <c r="U333" s="220"/>
      <c r="V333" s="221"/>
      <c r="W333" s="220"/>
      <c r="X333" s="222"/>
      <c r="Y333" s="222"/>
      <c r="Z333" s="229"/>
      <c r="AA333" s="229"/>
      <c r="AB333" s="229"/>
      <c r="AC333" s="229"/>
      <c r="AD333" s="229"/>
      <c r="AE333" s="229"/>
      <c r="AF333" s="229"/>
      <c r="AG333" s="264"/>
      <c r="AH333" s="224"/>
      <c r="AI333" s="264"/>
      <c r="AJ333" s="224"/>
      <c r="AK333" s="237"/>
      <c r="AL333" s="258"/>
      <c r="AM333" s="258"/>
      <c r="AN333" s="229"/>
      <c r="AO333" s="229"/>
      <c r="AP333" s="229"/>
      <c r="AQ333" s="259"/>
      <c r="AR333" s="259"/>
      <c r="AS333" s="229"/>
      <c r="AT333" s="229"/>
      <c r="AU333" s="229"/>
      <c r="AV333" s="229"/>
      <c r="AW333" s="264"/>
      <c r="AX333" s="264"/>
      <c r="AY333" s="264"/>
      <c r="AZ333" s="264"/>
      <c r="BA333" s="219"/>
      <c r="BB333" s="219"/>
      <c r="BC333" s="229"/>
      <c r="BD333" s="229"/>
      <c r="BE333" s="217"/>
      <c r="BF333" s="229"/>
      <c r="BG333" s="258"/>
      <c r="BH333" s="258"/>
      <c r="BI333" s="229"/>
      <c r="BJ333" s="229"/>
      <c r="BK333" s="229"/>
      <c r="BL333" s="229"/>
      <c r="BM333" s="258"/>
      <c r="BN333" s="258"/>
      <c r="BO333" s="258"/>
      <c r="BP333" s="258"/>
      <c r="BQ333" s="229"/>
      <c r="BR333" s="258"/>
      <c r="BS333" s="258"/>
      <c r="BT333" s="258"/>
      <c r="BU333" s="258"/>
      <c r="BV333" s="229"/>
      <c r="BW333" s="229"/>
      <c r="BX333" s="241"/>
      <c r="BY333" s="241"/>
      <c r="BZ333" s="241"/>
      <c r="CA333" s="217"/>
      <c r="CB333" s="217"/>
      <c r="CC333" s="229"/>
      <c r="CD333" s="217"/>
      <c r="CE333" s="217"/>
      <c r="CF333" s="217"/>
      <c r="CG333" s="217"/>
      <c r="CH333" s="217"/>
      <c r="CI333" s="229"/>
      <c r="CJ333" s="217"/>
      <c r="CK333" s="217"/>
      <c r="CL333" s="217"/>
      <c r="CM333" s="217"/>
      <c r="CN333" s="217"/>
      <c r="CO333" s="229"/>
      <c r="CP333" s="217"/>
      <c r="CQ333" s="217"/>
      <c r="CR333" s="217"/>
      <c r="CS333" s="217"/>
      <c r="CT333" s="217"/>
      <c r="CU333" s="229"/>
      <c r="CV333" s="217"/>
      <c r="CW333" s="217"/>
      <c r="CX333" s="217"/>
      <c r="CY333" s="217"/>
      <c r="CZ333" s="217"/>
      <c r="DA333" s="229"/>
      <c r="DB333" s="217"/>
      <c r="DC333" s="217"/>
      <c r="DD333" s="217"/>
      <c r="DE333" s="217"/>
      <c r="DF333" s="217"/>
      <c r="DG333" s="229"/>
      <c r="DH333" s="217"/>
      <c r="DI333" s="217"/>
      <c r="DJ333" s="217"/>
      <c r="DK333" s="217"/>
      <c r="DL333" s="217"/>
      <c r="DM333" s="229"/>
      <c r="DN333" s="217"/>
      <c r="DO333" s="217"/>
      <c r="DP333" s="217"/>
      <c r="DQ333" s="217"/>
      <c r="DR333" s="217"/>
      <c r="DS333" s="229"/>
      <c r="DT333" s="229"/>
      <c r="DU333" s="229"/>
      <c r="DV333" s="217"/>
      <c r="DW333" s="217"/>
      <c r="DX333" s="230"/>
      <c r="DY333" s="231"/>
      <c r="DZ333" s="231"/>
      <c r="EA333" s="230"/>
      <c r="EB333" s="232"/>
      <c r="EC333" s="217"/>
      <c r="ED333" s="233"/>
      <c r="EE333" s="234"/>
      <c r="EF333" s="235"/>
      <c r="EG333" s="233"/>
      <c r="EH333" s="236"/>
      <c r="EI333" s="217"/>
      <c r="EJ333" s="237"/>
      <c r="EK333" s="217"/>
      <c r="EL333" s="217"/>
      <c r="EM333" s="238"/>
      <c r="EN333" s="236"/>
      <c r="EO333" s="239"/>
      <c r="EP333" s="236"/>
      <c r="EQ333" s="217"/>
      <c r="ER333" s="217"/>
      <c r="ES333" s="236"/>
      <c r="ET333" s="236"/>
      <c r="EU333" s="236"/>
      <c r="EV333" s="239"/>
      <c r="EW333" s="236"/>
      <c r="EX333" s="217"/>
      <c r="EY333" s="240"/>
      <c r="EZ333" s="241"/>
      <c r="FA333" s="240"/>
      <c r="FB333" s="241"/>
      <c r="FC333" s="240"/>
      <c r="FD333" s="217"/>
      <c r="FE333" s="240"/>
      <c r="FF333" s="217"/>
      <c r="FG333" s="217"/>
      <c r="FH333" s="217"/>
      <c r="FI333" s="217"/>
      <c r="FJ333" s="217"/>
      <c r="FK333" s="240"/>
      <c r="FL333" s="217"/>
      <c r="FM333" s="240"/>
      <c r="FN333" s="217"/>
      <c r="FO333" s="240"/>
      <c r="FP333" s="217"/>
      <c r="FQ333" s="240"/>
      <c r="FR333" s="217"/>
      <c r="FS333" s="236"/>
      <c r="FT333" s="236"/>
      <c r="FU333" s="236"/>
      <c r="FV333" s="236"/>
      <c r="FW333" s="239"/>
      <c r="FX333" s="236"/>
      <c r="FY333" s="217"/>
      <c r="FZ333" s="240"/>
      <c r="GA333" s="217"/>
      <c r="GB333" s="242"/>
      <c r="GC333" s="217"/>
      <c r="GD333" s="240"/>
      <c r="GE333" s="240"/>
      <c r="GF333" s="240"/>
      <c r="GG333" s="240"/>
      <c r="GH333" s="240"/>
      <c r="GI333" s="217"/>
      <c r="GJ333" s="217"/>
      <c r="GK333" s="239"/>
      <c r="GL333" s="243"/>
    </row>
    <row r="334" ht="15.75" customHeight="1">
      <c r="A334" s="229"/>
      <c r="B334" s="258"/>
      <c r="C334" s="259"/>
      <c r="D334" s="260"/>
      <c r="E334" s="229"/>
      <c r="F334" s="261"/>
      <c r="G334" s="261"/>
      <c r="H334" s="262"/>
      <c r="I334" s="259"/>
      <c r="J334" s="259"/>
      <c r="K334" s="229"/>
      <c r="L334" s="229"/>
      <c r="M334" s="229"/>
      <c r="N334" s="229"/>
      <c r="O334" s="229"/>
      <c r="P334" s="217"/>
      <c r="Q334" s="229"/>
      <c r="R334" s="218"/>
      <c r="S334" s="265"/>
      <c r="T334" s="220"/>
      <c r="U334" s="220"/>
      <c r="V334" s="221"/>
      <c r="W334" s="220"/>
      <c r="X334" s="222"/>
      <c r="Y334" s="222"/>
      <c r="Z334" s="229"/>
      <c r="AA334" s="229"/>
      <c r="AB334" s="229"/>
      <c r="AC334" s="229"/>
      <c r="AD334" s="229"/>
      <c r="AE334" s="229"/>
      <c r="AF334" s="229"/>
      <c r="AG334" s="264"/>
      <c r="AH334" s="224"/>
      <c r="AI334" s="264"/>
      <c r="AJ334" s="224"/>
      <c r="AK334" s="237"/>
      <c r="AL334" s="258"/>
      <c r="AM334" s="258"/>
      <c r="AN334" s="229"/>
      <c r="AO334" s="229"/>
      <c r="AP334" s="229"/>
      <c r="AQ334" s="259"/>
      <c r="AR334" s="259"/>
      <c r="AS334" s="229"/>
      <c r="AT334" s="229"/>
      <c r="AU334" s="229"/>
      <c r="AV334" s="229"/>
      <c r="AW334" s="264"/>
      <c r="AX334" s="264"/>
      <c r="AY334" s="264"/>
      <c r="AZ334" s="264"/>
      <c r="BA334" s="219"/>
      <c r="BB334" s="219"/>
      <c r="BC334" s="229"/>
      <c r="BD334" s="229"/>
      <c r="BE334" s="217"/>
      <c r="BF334" s="229"/>
      <c r="BG334" s="258"/>
      <c r="BH334" s="258"/>
      <c r="BI334" s="229"/>
      <c r="BJ334" s="229"/>
      <c r="BK334" s="229"/>
      <c r="BL334" s="229"/>
      <c r="BM334" s="258"/>
      <c r="BN334" s="258"/>
      <c r="BO334" s="258"/>
      <c r="BP334" s="258"/>
      <c r="BQ334" s="229"/>
      <c r="BR334" s="258"/>
      <c r="BS334" s="258"/>
      <c r="BT334" s="258"/>
      <c r="BU334" s="258"/>
      <c r="BV334" s="229"/>
      <c r="BW334" s="229"/>
      <c r="BX334" s="241"/>
      <c r="BY334" s="241"/>
      <c r="BZ334" s="241"/>
      <c r="CA334" s="217"/>
      <c r="CB334" s="217"/>
      <c r="CC334" s="229"/>
      <c r="CD334" s="217"/>
      <c r="CE334" s="217"/>
      <c r="CF334" s="217"/>
      <c r="CG334" s="217"/>
      <c r="CH334" s="217"/>
      <c r="CI334" s="229"/>
      <c r="CJ334" s="217"/>
      <c r="CK334" s="217"/>
      <c r="CL334" s="217"/>
      <c r="CM334" s="217"/>
      <c r="CN334" s="217"/>
      <c r="CO334" s="229"/>
      <c r="CP334" s="217"/>
      <c r="CQ334" s="217"/>
      <c r="CR334" s="217"/>
      <c r="CS334" s="217"/>
      <c r="CT334" s="217"/>
      <c r="CU334" s="229"/>
      <c r="CV334" s="217"/>
      <c r="CW334" s="217"/>
      <c r="CX334" s="217"/>
      <c r="CY334" s="217"/>
      <c r="CZ334" s="217"/>
      <c r="DA334" s="229"/>
      <c r="DB334" s="217"/>
      <c r="DC334" s="217"/>
      <c r="DD334" s="217"/>
      <c r="DE334" s="217"/>
      <c r="DF334" s="217"/>
      <c r="DG334" s="229"/>
      <c r="DH334" s="217"/>
      <c r="DI334" s="217"/>
      <c r="DJ334" s="217"/>
      <c r="DK334" s="217"/>
      <c r="DL334" s="217"/>
      <c r="DM334" s="229"/>
      <c r="DN334" s="217"/>
      <c r="DO334" s="217"/>
      <c r="DP334" s="217"/>
      <c r="DQ334" s="217"/>
      <c r="DR334" s="217"/>
      <c r="DS334" s="229"/>
      <c r="DT334" s="229"/>
      <c r="DU334" s="229"/>
      <c r="DV334" s="217"/>
      <c r="DW334" s="217"/>
      <c r="DX334" s="230"/>
      <c r="DY334" s="231"/>
      <c r="DZ334" s="231"/>
      <c r="EA334" s="230"/>
      <c r="EB334" s="232"/>
      <c r="EC334" s="217"/>
      <c r="ED334" s="233"/>
      <c r="EE334" s="234"/>
      <c r="EF334" s="235"/>
      <c r="EG334" s="233"/>
      <c r="EH334" s="236"/>
      <c r="EI334" s="217"/>
      <c r="EJ334" s="237"/>
      <c r="EK334" s="217"/>
      <c r="EL334" s="217"/>
      <c r="EM334" s="238"/>
      <c r="EN334" s="236"/>
      <c r="EO334" s="239"/>
      <c r="EP334" s="236"/>
      <c r="EQ334" s="217"/>
      <c r="ER334" s="217"/>
      <c r="ES334" s="236"/>
      <c r="ET334" s="236"/>
      <c r="EU334" s="236"/>
      <c r="EV334" s="239"/>
      <c r="EW334" s="236"/>
      <c r="EX334" s="217"/>
      <c r="EY334" s="240"/>
      <c r="EZ334" s="241"/>
      <c r="FA334" s="240"/>
      <c r="FB334" s="241"/>
      <c r="FC334" s="240"/>
      <c r="FD334" s="217"/>
      <c r="FE334" s="240"/>
      <c r="FF334" s="217"/>
      <c r="FG334" s="217"/>
      <c r="FH334" s="217"/>
      <c r="FI334" s="217"/>
      <c r="FJ334" s="217"/>
      <c r="FK334" s="240"/>
      <c r="FL334" s="217"/>
      <c r="FM334" s="240"/>
      <c r="FN334" s="217"/>
      <c r="FO334" s="240"/>
      <c r="FP334" s="217"/>
      <c r="FQ334" s="240"/>
      <c r="FR334" s="217"/>
      <c r="FS334" s="236"/>
      <c r="FT334" s="236"/>
      <c r="FU334" s="236"/>
      <c r="FV334" s="236"/>
      <c r="FW334" s="239"/>
      <c r="FX334" s="236"/>
      <c r="FY334" s="217"/>
      <c r="FZ334" s="240"/>
      <c r="GA334" s="217"/>
      <c r="GB334" s="242"/>
      <c r="GC334" s="217"/>
      <c r="GD334" s="240"/>
      <c r="GE334" s="240"/>
      <c r="GF334" s="240"/>
      <c r="GG334" s="240"/>
      <c r="GH334" s="240"/>
      <c r="GI334" s="217"/>
      <c r="GJ334" s="217"/>
      <c r="GK334" s="239"/>
      <c r="GL334" s="243"/>
    </row>
    <row r="335" ht="15.75" customHeight="1">
      <c r="A335" s="229"/>
      <c r="B335" s="258"/>
      <c r="C335" s="259"/>
      <c r="D335" s="260"/>
      <c r="E335" s="229"/>
      <c r="F335" s="261"/>
      <c r="G335" s="261"/>
      <c r="H335" s="262"/>
      <c r="I335" s="259"/>
      <c r="J335" s="259"/>
      <c r="K335" s="229"/>
      <c r="L335" s="229"/>
      <c r="M335" s="229"/>
      <c r="N335" s="229"/>
      <c r="O335" s="229"/>
      <c r="P335" s="217"/>
      <c r="Q335" s="229"/>
      <c r="R335" s="218"/>
      <c r="S335" s="265"/>
      <c r="T335" s="220"/>
      <c r="U335" s="220"/>
      <c r="V335" s="221"/>
      <c r="W335" s="220"/>
      <c r="X335" s="222"/>
      <c r="Y335" s="222"/>
      <c r="Z335" s="229"/>
      <c r="AA335" s="229"/>
      <c r="AB335" s="229"/>
      <c r="AC335" s="229"/>
      <c r="AD335" s="229"/>
      <c r="AE335" s="229"/>
      <c r="AF335" s="229"/>
      <c r="AG335" s="264"/>
      <c r="AH335" s="224"/>
      <c r="AI335" s="264"/>
      <c r="AJ335" s="224"/>
      <c r="AK335" s="237"/>
      <c r="AL335" s="258"/>
      <c r="AM335" s="258"/>
      <c r="AN335" s="229"/>
      <c r="AO335" s="229"/>
      <c r="AP335" s="229"/>
      <c r="AQ335" s="259"/>
      <c r="AR335" s="259"/>
      <c r="AS335" s="229"/>
      <c r="AT335" s="229"/>
      <c r="AU335" s="229"/>
      <c r="AV335" s="229"/>
      <c r="AW335" s="264"/>
      <c r="AX335" s="264"/>
      <c r="AY335" s="264"/>
      <c r="AZ335" s="264"/>
      <c r="BA335" s="219"/>
      <c r="BB335" s="219"/>
      <c r="BC335" s="229"/>
      <c r="BD335" s="229"/>
      <c r="BE335" s="217"/>
      <c r="BF335" s="229"/>
      <c r="BG335" s="258"/>
      <c r="BH335" s="258"/>
      <c r="BI335" s="229"/>
      <c r="BJ335" s="229"/>
      <c r="BK335" s="229"/>
      <c r="BL335" s="229"/>
      <c r="BM335" s="258"/>
      <c r="BN335" s="258"/>
      <c r="BO335" s="258"/>
      <c r="BP335" s="258"/>
      <c r="BQ335" s="229"/>
      <c r="BR335" s="258"/>
      <c r="BS335" s="258"/>
      <c r="BT335" s="258"/>
      <c r="BU335" s="258"/>
      <c r="BV335" s="229"/>
      <c r="BW335" s="229"/>
      <c r="BX335" s="241"/>
      <c r="BY335" s="241"/>
      <c r="BZ335" s="241"/>
      <c r="CA335" s="217"/>
      <c r="CB335" s="217"/>
      <c r="CC335" s="229"/>
      <c r="CD335" s="217"/>
      <c r="CE335" s="217"/>
      <c r="CF335" s="217"/>
      <c r="CG335" s="217"/>
      <c r="CH335" s="217"/>
      <c r="CI335" s="229"/>
      <c r="CJ335" s="217"/>
      <c r="CK335" s="217"/>
      <c r="CL335" s="217"/>
      <c r="CM335" s="217"/>
      <c r="CN335" s="217"/>
      <c r="CO335" s="229"/>
      <c r="CP335" s="217"/>
      <c r="CQ335" s="217"/>
      <c r="CR335" s="217"/>
      <c r="CS335" s="217"/>
      <c r="CT335" s="217"/>
      <c r="CU335" s="229"/>
      <c r="CV335" s="217"/>
      <c r="CW335" s="217"/>
      <c r="CX335" s="217"/>
      <c r="CY335" s="217"/>
      <c r="CZ335" s="217"/>
      <c r="DA335" s="229"/>
      <c r="DB335" s="217"/>
      <c r="DC335" s="217"/>
      <c r="DD335" s="217"/>
      <c r="DE335" s="217"/>
      <c r="DF335" s="217"/>
      <c r="DG335" s="229"/>
      <c r="DH335" s="217"/>
      <c r="DI335" s="217"/>
      <c r="DJ335" s="217"/>
      <c r="DK335" s="217"/>
      <c r="DL335" s="217"/>
      <c r="DM335" s="229"/>
      <c r="DN335" s="217"/>
      <c r="DO335" s="217"/>
      <c r="DP335" s="217"/>
      <c r="DQ335" s="217"/>
      <c r="DR335" s="217"/>
      <c r="DS335" s="229"/>
      <c r="DT335" s="229"/>
      <c r="DU335" s="229"/>
      <c r="DV335" s="217"/>
      <c r="DW335" s="217"/>
      <c r="DX335" s="230"/>
      <c r="DY335" s="231"/>
      <c r="DZ335" s="231"/>
      <c r="EA335" s="230"/>
      <c r="EB335" s="232"/>
      <c r="EC335" s="217"/>
      <c r="ED335" s="233"/>
      <c r="EE335" s="234"/>
      <c r="EF335" s="235"/>
      <c r="EG335" s="233"/>
      <c r="EH335" s="236"/>
      <c r="EI335" s="217"/>
      <c r="EJ335" s="237"/>
      <c r="EK335" s="217"/>
      <c r="EL335" s="217"/>
      <c r="EM335" s="238"/>
      <c r="EN335" s="236"/>
      <c r="EO335" s="239"/>
      <c r="EP335" s="236"/>
      <c r="EQ335" s="217"/>
      <c r="ER335" s="217"/>
      <c r="ES335" s="236"/>
      <c r="ET335" s="236"/>
      <c r="EU335" s="236"/>
      <c r="EV335" s="239"/>
      <c r="EW335" s="236"/>
      <c r="EX335" s="217"/>
      <c r="EY335" s="240"/>
      <c r="EZ335" s="241"/>
      <c r="FA335" s="240"/>
      <c r="FB335" s="241"/>
      <c r="FC335" s="240"/>
      <c r="FD335" s="217"/>
      <c r="FE335" s="240"/>
      <c r="FF335" s="217"/>
      <c r="FG335" s="217"/>
      <c r="FH335" s="217"/>
      <c r="FI335" s="217"/>
      <c r="FJ335" s="217"/>
      <c r="FK335" s="240"/>
      <c r="FL335" s="217"/>
      <c r="FM335" s="240"/>
      <c r="FN335" s="217"/>
      <c r="FO335" s="240"/>
      <c r="FP335" s="217"/>
      <c r="FQ335" s="240"/>
      <c r="FR335" s="217"/>
      <c r="FS335" s="236"/>
      <c r="FT335" s="236"/>
      <c r="FU335" s="236"/>
      <c r="FV335" s="236"/>
      <c r="FW335" s="239"/>
      <c r="FX335" s="236"/>
      <c r="FY335" s="217"/>
      <c r="FZ335" s="240"/>
      <c r="GA335" s="217"/>
      <c r="GB335" s="242"/>
      <c r="GC335" s="217"/>
      <c r="GD335" s="240"/>
      <c r="GE335" s="240"/>
      <c r="GF335" s="240"/>
      <c r="GG335" s="240"/>
      <c r="GH335" s="240"/>
      <c r="GI335" s="217"/>
      <c r="GJ335" s="217"/>
      <c r="GK335" s="239"/>
      <c r="GL335" s="243"/>
    </row>
    <row r="336" ht="15.75" customHeight="1">
      <c r="A336" s="229"/>
      <c r="B336" s="258"/>
      <c r="C336" s="259"/>
      <c r="D336" s="260"/>
      <c r="E336" s="229"/>
      <c r="F336" s="261"/>
      <c r="G336" s="261"/>
      <c r="H336" s="262"/>
      <c r="I336" s="259"/>
      <c r="J336" s="259"/>
      <c r="K336" s="229"/>
      <c r="L336" s="229"/>
      <c r="M336" s="229"/>
      <c r="N336" s="229"/>
      <c r="O336" s="229"/>
      <c r="P336" s="217"/>
      <c r="Q336" s="229"/>
      <c r="R336" s="218"/>
      <c r="S336" s="265"/>
      <c r="T336" s="220"/>
      <c r="U336" s="220"/>
      <c r="V336" s="221"/>
      <c r="W336" s="220"/>
      <c r="X336" s="222"/>
      <c r="Y336" s="222"/>
      <c r="Z336" s="229"/>
      <c r="AA336" s="229"/>
      <c r="AB336" s="229"/>
      <c r="AC336" s="229"/>
      <c r="AD336" s="229"/>
      <c r="AE336" s="229"/>
      <c r="AF336" s="229"/>
      <c r="AG336" s="264"/>
      <c r="AH336" s="224"/>
      <c r="AI336" s="264"/>
      <c r="AJ336" s="224"/>
      <c r="AK336" s="237"/>
      <c r="AL336" s="258"/>
      <c r="AM336" s="258"/>
      <c r="AN336" s="229"/>
      <c r="AO336" s="229"/>
      <c r="AP336" s="229"/>
      <c r="AQ336" s="259"/>
      <c r="AR336" s="259"/>
      <c r="AS336" s="229"/>
      <c r="AT336" s="229"/>
      <c r="AU336" s="229"/>
      <c r="AV336" s="229"/>
      <c r="AW336" s="264"/>
      <c r="AX336" s="264"/>
      <c r="AY336" s="264"/>
      <c r="AZ336" s="264"/>
      <c r="BA336" s="219"/>
      <c r="BB336" s="219"/>
      <c r="BC336" s="229"/>
      <c r="BD336" s="229"/>
      <c r="BE336" s="217"/>
      <c r="BF336" s="229"/>
      <c r="BG336" s="258"/>
      <c r="BH336" s="258"/>
      <c r="BI336" s="229"/>
      <c r="BJ336" s="229"/>
      <c r="BK336" s="229"/>
      <c r="BL336" s="229"/>
      <c r="BM336" s="258"/>
      <c r="BN336" s="258"/>
      <c r="BO336" s="258"/>
      <c r="BP336" s="258"/>
      <c r="BQ336" s="229"/>
      <c r="BR336" s="258"/>
      <c r="BS336" s="258"/>
      <c r="BT336" s="258"/>
      <c r="BU336" s="258"/>
      <c r="BV336" s="229"/>
      <c r="BW336" s="229"/>
      <c r="BX336" s="241"/>
      <c r="BY336" s="241"/>
      <c r="BZ336" s="241"/>
      <c r="CA336" s="217"/>
      <c r="CB336" s="217"/>
      <c r="CC336" s="229"/>
      <c r="CD336" s="217"/>
      <c r="CE336" s="217"/>
      <c r="CF336" s="217"/>
      <c r="CG336" s="217"/>
      <c r="CH336" s="217"/>
      <c r="CI336" s="229"/>
      <c r="CJ336" s="217"/>
      <c r="CK336" s="217"/>
      <c r="CL336" s="217"/>
      <c r="CM336" s="217"/>
      <c r="CN336" s="217"/>
      <c r="CO336" s="229"/>
      <c r="CP336" s="217"/>
      <c r="CQ336" s="217"/>
      <c r="CR336" s="217"/>
      <c r="CS336" s="217"/>
      <c r="CT336" s="217"/>
      <c r="CU336" s="229"/>
      <c r="CV336" s="217"/>
      <c r="CW336" s="217"/>
      <c r="CX336" s="217"/>
      <c r="CY336" s="217"/>
      <c r="CZ336" s="217"/>
      <c r="DA336" s="229"/>
      <c r="DB336" s="217"/>
      <c r="DC336" s="217"/>
      <c r="DD336" s="217"/>
      <c r="DE336" s="217"/>
      <c r="DF336" s="217"/>
      <c r="DG336" s="229"/>
      <c r="DH336" s="217"/>
      <c r="DI336" s="217"/>
      <c r="DJ336" s="217"/>
      <c r="DK336" s="217"/>
      <c r="DL336" s="217"/>
      <c r="DM336" s="229"/>
      <c r="DN336" s="217"/>
      <c r="DO336" s="217"/>
      <c r="DP336" s="217"/>
      <c r="DQ336" s="217"/>
      <c r="DR336" s="217"/>
      <c r="DS336" s="229"/>
      <c r="DT336" s="229"/>
      <c r="DU336" s="229"/>
      <c r="DV336" s="217"/>
      <c r="DW336" s="217"/>
      <c r="DX336" s="230"/>
      <c r="DY336" s="231"/>
      <c r="DZ336" s="231"/>
      <c r="EA336" s="230"/>
      <c r="EB336" s="232"/>
      <c r="EC336" s="217"/>
      <c r="ED336" s="233"/>
      <c r="EE336" s="234"/>
      <c r="EF336" s="235"/>
      <c r="EG336" s="233"/>
      <c r="EH336" s="236"/>
      <c r="EI336" s="217"/>
      <c r="EJ336" s="237"/>
      <c r="EK336" s="217"/>
      <c r="EL336" s="217"/>
      <c r="EM336" s="238"/>
      <c r="EN336" s="236"/>
      <c r="EO336" s="239"/>
      <c r="EP336" s="236"/>
      <c r="EQ336" s="217"/>
      <c r="ER336" s="217"/>
      <c r="ES336" s="236"/>
      <c r="ET336" s="236"/>
      <c r="EU336" s="236"/>
      <c r="EV336" s="239"/>
      <c r="EW336" s="236"/>
      <c r="EX336" s="217"/>
      <c r="EY336" s="240"/>
      <c r="EZ336" s="241"/>
      <c r="FA336" s="240"/>
      <c r="FB336" s="241"/>
      <c r="FC336" s="240"/>
      <c r="FD336" s="217"/>
      <c r="FE336" s="240"/>
      <c r="FF336" s="217"/>
      <c r="FG336" s="217"/>
      <c r="FH336" s="217"/>
      <c r="FI336" s="217"/>
      <c r="FJ336" s="217"/>
      <c r="FK336" s="240"/>
      <c r="FL336" s="217"/>
      <c r="FM336" s="240"/>
      <c r="FN336" s="217"/>
      <c r="FO336" s="240"/>
      <c r="FP336" s="217"/>
      <c r="FQ336" s="240"/>
      <c r="FR336" s="217"/>
      <c r="FS336" s="236"/>
      <c r="FT336" s="236"/>
      <c r="FU336" s="236"/>
      <c r="FV336" s="236"/>
      <c r="FW336" s="239"/>
      <c r="FX336" s="236"/>
      <c r="FY336" s="217"/>
      <c r="FZ336" s="240"/>
      <c r="GA336" s="217"/>
      <c r="GB336" s="242"/>
      <c r="GC336" s="217"/>
      <c r="GD336" s="240"/>
      <c r="GE336" s="240"/>
      <c r="GF336" s="240"/>
      <c r="GG336" s="240"/>
      <c r="GH336" s="240"/>
      <c r="GI336" s="217"/>
      <c r="GJ336" s="217"/>
      <c r="GK336" s="239"/>
      <c r="GL336" s="243"/>
    </row>
    <row r="337" ht="15.75" customHeight="1">
      <c r="A337" s="229"/>
      <c r="B337" s="258"/>
      <c r="C337" s="259"/>
      <c r="D337" s="260"/>
      <c r="E337" s="229"/>
      <c r="F337" s="261"/>
      <c r="G337" s="261"/>
      <c r="H337" s="262"/>
      <c r="I337" s="259"/>
      <c r="J337" s="259"/>
      <c r="K337" s="229"/>
      <c r="L337" s="229"/>
      <c r="M337" s="229"/>
      <c r="N337" s="229"/>
      <c r="O337" s="229"/>
      <c r="P337" s="217"/>
      <c r="Q337" s="229"/>
      <c r="R337" s="218"/>
      <c r="S337" s="265"/>
      <c r="T337" s="220"/>
      <c r="U337" s="220"/>
      <c r="V337" s="221"/>
      <c r="W337" s="220"/>
      <c r="X337" s="222"/>
      <c r="Y337" s="222"/>
      <c r="Z337" s="229"/>
      <c r="AA337" s="229"/>
      <c r="AB337" s="229"/>
      <c r="AC337" s="229"/>
      <c r="AD337" s="229"/>
      <c r="AE337" s="229"/>
      <c r="AF337" s="229"/>
      <c r="AG337" s="264"/>
      <c r="AH337" s="224"/>
      <c r="AI337" s="264"/>
      <c r="AJ337" s="224"/>
      <c r="AK337" s="237"/>
      <c r="AL337" s="258"/>
      <c r="AM337" s="258"/>
      <c r="AN337" s="229"/>
      <c r="AO337" s="229"/>
      <c r="AP337" s="229"/>
      <c r="AQ337" s="259"/>
      <c r="AR337" s="259"/>
      <c r="AS337" s="229"/>
      <c r="AT337" s="229"/>
      <c r="AU337" s="229"/>
      <c r="AV337" s="229"/>
      <c r="AW337" s="264"/>
      <c r="AX337" s="264"/>
      <c r="AY337" s="264"/>
      <c r="AZ337" s="264"/>
      <c r="BA337" s="219"/>
      <c r="BB337" s="219"/>
      <c r="BC337" s="229"/>
      <c r="BD337" s="229"/>
      <c r="BE337" s="217"/>
      <c r="BF337" s="229"/>
      <c r="BG337" s="258"/>
      <c r="BH337" s="258"/>
      <c r="BI337" s="229"/>
      <c r="BJ337" s="229"/>
      <c r="BK337" s="229"/>
      <c r="BL337" s="229"/>
      <c r="BM337" s="258"/>
      <c r="BN337" s="258"/>
      <c r="BO337" s="258"/>
      <c r="BP337" s="258"/>
      <c r="BQ337" s="229"/>
      <c r="BR337" s="258"/>
      <c r="BS337" s="258"/>
      <c r="BT337" s="258"/>
      <c r="BU337" s="258"/>
      <c r="BV337" s="229"/>
      <c r="BW337" s="229"/>
      <c r="BX337" s="241"/>
      <c r="BY337" s="241"/>
      <c r="BZ337" s="241"/>
      <c r="CA337" s="217"/>
      <c r="CB337" s="217"/>
      <c r="CC337" s="229"/>
      <c r="CD337" s="217"/>
      <c r="CE337" s="217"/>
      <c r="CF337" s="217"/>
      <c r="CG337" s="217"/>
      <c r="CH337" s="217"/>
      <c r="CI337" s="229"/>
      <c r="CJ337" s="217"/>
      <c r="CK337" s="217"/>
      <c r="CL337" s="217"/>
      <c r="CM337" s="217"/>
      <c r="CN337" s="217"/>
      <c r="CO337" s="229"/>
      <c r="CP337" s="217"/>
      <c r="CQ337" s="217"/>
      <c r="CR337" s="217"/>
      <c r="CS337" s="217"/>
      <c r="CT337" s="217"/>
      <c r="CU337" s="229"/>
      <c r="CV337" s="217"/>
      <c r="CW337" s="217"/>
      <c r="CX337" s="217"/>
      <c r="CY337" s="217"/>
      <c r="CZ337" s="217"/>
      <c r="DA337" s="229"/>
      <c r="DB337" s="217"/>
      <c r="DC337" s="217"/>
      <c r="DD337" s="217"/>
      <c r="DE337" s="217"/>
      <c r="DF337" s="217"/>
      <c r="DG337" s="229"/>
      <c r="DH337" s="217"/>
      <c r="DI337" s="217"/>
      <c r="DJ337" s="217"/>
      <c r="DK337" s="217"/>
      <c r="DL337" s="217"/>
      <c r="DM337" s="229"/>
      <c r="DN337" s="217"/>
      <c r="DO337" s="217"/>
      <c r="DP337" s="217"/>
      <c r="DQ337" s="217"/>
      <c r="DR337" s="217"/>
      <c r="DS337" s="229"/>
      <c r="DT337" s="229"/>
      <c r="DU337" s="229"/>
      <c r="DV337" s="217"/>
      <c r="DW337" s="217"/>
      <c r="DX337" s="230"/>
      <c r="DY337" s="231"/>
      <c r="DZ337" s="231"/>
      <c r="EA337" s="230"/>
      <c r="EB337" s="232"/>
      <c r="EC337" s="217"/>
      <c r="ED337" s="233"/>
      <c r="EE337" s="234"/>
      <c r="EF337" s="235"/>
      <c r="EG337" s="233"/>
      <c r="EH337" s="236"/>
      <c r="EI337" s="217"/>
      <c r="EJ337" s="237"/>
      <c r="EK337" s="217"/>
      <c r="EL337" s="217"/>
      <c r="EM337" s="238"/>
      <c r="EN337" s="236"/>
      <c r="EO337" s="239"/>
      <c r="EP337" s="236"/>
      <c r="EQ337" s="217"/>
      <c r="ER337" s="217"/>
      <c r="ES337" s="236"/>
      <c r="ET337" s="236"/>
      <c r="EU337" s="236"/>
      <c r="EV337" s="239"/>
      <c r="EW337" s="236"/>
      <c r="EX337" s="217"/>
      <c r="EY337" s="240"/>
      <c r="EZ337" s="241"/>
      <c r="FA337" s="240"/>
      <c r="FB337" s="241"/>
      <c r="FC337" s="240"/>
      <c r="FD337" s="217"/>
      <c r="FE337" s="240"/>
      <c r="FF337" s="217"/>
      <c r="FG337" s="217"/>
      <c r="FH337" s="217"/>
      <c r="FI337" s="217"/>
      <c r="FJ337" s="217"/>
      <c r="FK337" s="240"/>
      <c r="FL337" s="217"/>
      <c r="FM337" s="240"/>
      <c r="FN337" s="217"/>
      <c r="FO337" s="240"/>
      <c r="FP337" s="217"/>
      <c r="FQ337" s="240"/>
      <c r="FR337" s="217"/>
      <c r="FS337" s="236"/>
      <c r="FT337" s="236"/>
      <c r="FU337" s="236"/>
      <c r="FV337" s="236"/>
      <c r="FW337" s="239"/>
      <c r="FX337" s="236"/>
      <c r="FY337" s="217"/>
      <c r="FZ337" s="240"/>
      <c r="GA337" s="217"/>
      <c r="GB337" s="242"/>
      <c r="GC337" s="217"/>
      <c r="GD337" s="240"/>
      <c r="GE337" s="240"/>
      <c r="GF337" s="240"/>
      <c r="GG337" s="240"/>
      <c r="GH337" s="240"/>
      <c r="GI337" s="217"/>
      <c r="GJ337" s="217"/>
      <c r="GK337" s="239"/>
      <c r="GL337" s="243"/>
    </row>
    <row r="338" ht="15.75" customHeight="1">
      <c r="A338" s="229"/>
      <c r="B338" s="258"/>
      <c r="C338" s="259"/>
      <c r="D338" s="260"/>
      <c r="E338" s="229"/>
      <c r="F338" s="261"/>
      <c r="G338" s="261"/>
      <c r="H338" s="262"/>
      <c r="I338" s="259"/>
      <c r="J338" s="259"/>
      <c r="K338" s="229"/>
      <c r="L338" s="229"/>
      <c r="M338" s="229"/>
      <c r="N338" s="229"/>
      <c r="O338" s="229"/>
      <c r="P338" s="217"/>
      <c r="Q338" s="229"/>
      <c r="R338" s="218"/>
      <c r="S338" s="265"/>
      <c r="T338" s="220"/>
      <c r="U338" s="220"/>
      <c r="V338" s="221"/>
      <c r="W338" s="220"/>
      <c r="X338" s="222"/>
      <c r="Y338" s="222"/>
      <c r="Z338" s="229"/>
      <c r="AA338" s="229"/>
      <c r="AB338" s="229"/>
      <c r="AC338" s="229"/>
      <c r="AD338" s="229"/>
      <c r="AE338" s="229"/>
      <c r="AF338" s="229"/>
      <c r="AG338" s="264"/>
      <c r="AH338" s="224"/>
      <c r="AI338" s="264"/>
      <c r="AJ338" s="224"/>
      <c r="AK338" s="237"/>
      <c r="AL338" s="258"/>
      <c r="AM338" s="258"/>
      <c r="AN338" s="229"/>
      <c r="AO338" s="229"/>
      <c r="AP338" s="229"/>
      <c r="AQ338" s="259"/>
      <c r="AR338" s="259"/>
      <c r="AS338" s="229"/>
      <c r="AT338" s="229"/>
      <c r="AU338" s="229"/>
      <c r="AV338" s="229"/>
      <c r="AW338" s="264"/>
      <c r="AX338" s="264"/>
      <c r="AY338" s="264"/>
      <c r="AZ338" s="264"/>
      <c r="BA338" s="219"/>
      <c r="BB338" s="219"/>
      <c r="BC338" s="229"/>
      <c r="BD338" s="229"/>
      <c r="BE338" s="217"/>
      <c r="BF338" s="229"/>
      <c r="BG338" s="258"/>
      <c r="BH338" s="258"/>
      <c r="BI338" s="229"/>
      <c r="BJ338" s="229"/>
      <c r="BK338" s="229"/>
      <c r="BL338" s="229"/>
      <c r="BM338" s="258"/>
      <c r="BN338" s="258"/>
      <c r="BO338" s="258"/>
      <c r="BP338" s="258"/>
      <c r="BQ338" s="229"/>
      <c r="BR338" s="258"/>
      <c r="BS338" s="258"/>
      <c r="BT338" s="258"/>
      <c r="BU338" s="258"/>
      <c r="BV338" s="229"/>
      <c r="BW338" s="229"/>
      <c r="BX338" s="241"/>
      <c r="BY338" s="241"/>
      <c r="BZ338" s="241"/>
      <c r="CA338" s="217"/>
      <c r="CB338" s="217"/>
      <c r="CC338" s="229"/>
      <c r="CD338" s="217"/>
      <c r="CE338" s="217"/>
      <c r="CF338" s="217"/>
      <c r="CG338" s="217"/>
      <c r="CH338" s="217"/>
      <c r="CI338" s="229"/>
      <c r="CJ338" s="217"/>
      <c r="CK338" s="217"/>
      <c r="CL338" s="217"/>
      <c r="CM338" s="217"/>
      <c r="CN338" s="217"/>
      <c r="CO338" s="229"/>
      <c r="CP338" s="217"/>
      <c r="CQ338" s="217"/>
      <c r="CR338" s="217"/>
      <c r="CS338" s="217"/>
      <c r="CT338" s="217"/>
      <c r="CU338" s="229"/>
      <c r="CV338" s="217"/>
      <c r="CW338" s="217"/>
      <c r="CX338" s="217"/>
      <c r="CY338" s="217"/>
      <c r="CZ338" s="217"/>
      <c r="DA338" s="229"/>
      <c r="DB338" s="217"/>
      <c r="DC338" s="217"/>
      <c r="DD338" s="217"/>
      <c r="DE338" s="217"/>
      <c r="DF338" s="217"/>
      <c r="DG338" s="229"/>
      <c r="DH338" s="217"/>
      <c r="DI338" s="217"/>
      <c r="DJ338" s="217"/>
      <c r="DK338" s="217"/>
      <c r="DL338" s="217"/>
      <c r="DM338" s="229"/>
      <c r="DN338" s="217"/>
      <c r="DO338" s="217"/>
      <c r="DP338" s="217"/>
      <c r="DQ338" s="217"/>
      <c r="DR338" s="217"/>
      <c r="DS338" s="229"/>
      <c r="DT338" s="229"/>
      <c r="DU338" s="229"/>
      <c r="DV338" s="217"/>
      <c r="DW338" s="217"/>
      <c r="DX338" s="230"/>
      <c r="DY338" s="231"/>
      <c r="DZ338" s="231"/>
      <c r="EA338" s="230"/>
      <c r="EB338" s="232"/>
      <c r="EC338" s="217"/>
      <c r="ED338" s="233"/>
      <c r="EE338" s="234"/>
      <c r="EF338" s="235"/>
      <c r="EG338" s="233"/>
      <c r="EH338" s="236"/>
      <c r="EI338" s="217"/>
      <c r="EJ338" s="237"/>
      <c r="EK338" s="217"/>
      <c r="EL338" s="217"/>
      <c r="EM338" s="238"/>
      <c r="EN338" s="236"/>
      <c r="EO338" s="239"/>
      <c r="EP338" s="236"/>
      <c r="EQ338" s="217"/>
      <c r="ER338" s="217"/>
      <c r="ES338" s="236"/>
      <c r="ET338" s="236"/>
      <c r="EU338" s="236"/>
      <c r="EV338" s="239"/>
      <c r="EW338" s="236"/>
      <c r="EX338" s="217"/>
      <c r="EY338" s="240"/>
      <c r="EZ338" s="241"/>
      <c r="FA338" s="240"/>
      <c r="FB338" s="241"/>
      <c r="FC338" s="240"/>
      <c r="FD338" s="217"/>
      <c r="FE338" s="240"/>
      <c r="FF338" s="217"/>
      <c r="FG338" s="217"/>
      <c r="FH338" s="217"/>
      <c r="FI338" s="217"/>
      <c r="FJ338" s="217"/>
      <c r="FK338" s="240"/>
      <c r="FL338" s="217"/>
      <c r="FM338" s="240"/>
      <c r="FN338" s="217"/>
      <c r="FO338" s="240"/>
      <c r="FP338" s="217"/>
      <c r="FQ338" s="240"/>
      <c r="FR338" s="217"/>
      <c r="FS338" s="236"/>
      <c r="FT338" s="236"/>
      <c r="FU338" s="236"/>
      <c r="FV338" s="236"/>
      <c r="FW338" s="239"/>
      <c r="FX338" s="236"/>
      <c r="FY338" s="217"/>
      <c r="FZ338" s="240"/>
      <c r="GA338" s="217"/>
      <c r="GB338" s="242"/>
      <c r="GC338" s="217"/>
      <c r="GD338" s="240"/>
      <c r="GE338" s="240"/>
      <c r="GF338" s="240"/>
      <c r="GG338" s="240"/>
      <c r="GH338" s="240"/>
      <c r="GI338" s="217"/>
      <c r="GJ338" s="217"/>
      <c r="GK338" s="239"/>
      <c r="GL338" s="243"/>
    </row>
    <row r="339" ht="15.75" customHeight="1">
      <c r="A339" s="229"/>
      <c r="B339" s="258"/>
      <c r="C339" s="259"/>
      <c r="D339" s="260"/>
      <c r="E339" s="229"/>
      <c r="F339" s="261"/>
      <c r="G339" s="261"/>
      <c r="H339" s="262"/>
      <c r="I339" s="259"/>
      <c r="J339" s="259"/>
      <c r="K339" s="229"/>
      <c r="L339" s="229"/>
      <c r="M339" s="229"/>
      <c r="N339" s="229"/>
      <c r="O339" s="229"/>
      <c r="P339" s="217"/>
      <c r="Q339" s="229"/>
      <c r="R339" s="218"/>
      <c r="S339" s="265"/>
      <c r="T339" s="220"/>
      <c r="U339" s="220"/>
      <c r="V339" s="221"/>
      <c r="W339" s="220"/>
      <c r="X339" s="222"/>
      <c r="Y339" s="222"/>
      <c r="Z339" s="229"/>
      <c r="AA339" s="229"/>
      <c r="AB339" s="229"/>
      <c r="AC339" s="229"/>
      <c r="AD339" s="229"/>
      <c r="AE339" s="229"/>
      <c r="AF339" s="229"/>
      <c r="AG339" s="264"/>
      <c r="AH339" s="224"/>
      <c r="AI339" s="264"/>
      <c r="AJ339" s="224"/>
      <c r="AK339" s="237"/>
      <c r="AL339" s="258"/>
      <c r="AM339" s="258"/>
      <c r="AN339" s="229"/>
      <c r="AO339" s="229"/>
      <c r="AP339" s="229"/>
      <c r="AQ339" s="259"/>
      <c r="AR339" s="259"/>
      <c r="AS339" s="229"/>
      <c r="AT339" s="229"/>
      <c r="AU339" s="229"/>
      <c r="AV339" s="229"/>
      <c r="AW339" s="264"/>
      <c r="AX339" s="264"/>
      <c r="AY339" s="264"/>
      <c r="AZ339" s="264"/>
      <c r="BA339" s="219"/>
      <c r="BB339" s="219"/>
      <c r="BC339" s="229"/>
      <c r="BD339" s="229"/>
      <c r="BE339" s="217"/>
      <c r="BF339" s="229"/>
      <c r="BG339" s="258"/>
      <c r="BH339" s="258"/>
      <c r="BI339" s="229"/>
      <c r="BJ339" s="229"/>
      <c r="BK339" s="229"/>
      <c r="BL339" s="229"/>
      <c r="BM339" s="258"/>
      <c r="BN339" s="258"/>
      <c r="BO339" s="258"/>
      <c r="BP339" s="258"/>
      <c r="BQ339" s="229"/>
      <c r="BR339" s="258"/>
      <c r="BS339" s="258"/>
      <c r="BT339" s="258"/>
      <c r="BU339" s="258"/>
      <c r="BV339" s="229"/>
      <c r="BW339" s="229"/>
      <c r="BX339" s="241"/>
      <c r="BY339" s="241"/>
      <c r="BZ339" s="241"/>
      <c r="CA339" s="217"/>
      <c r="CB339" s="217"/>
      <c r="CC339" s="229"/>
      <c r="CD339" s="217"/>
      <c r="CE339" s="217"/>
      <c r="CF339" s="217"/>
      <c r="CG339" s="217"/>
      <c r="CH339" s="217"/>
      <c r="CI339" s="229"/>
      <c r="CJ339" s="217"/>
      <c r="CK339" s="217"/>
      <c r="CL339" s="217"/>
      <c r="CM339" s="217"/>
      <c r="CN339" s="217"/>
      <c r="CO339" s="229"/>
      <c r="CP339" s="217"/>
      <c r="CQ339" s="217"/>
      <c r="CR339" s="217"/>
      <c r="CS339" s="217"/>
      <c r="CT339" s="217"/>
      <c r="CU339" s="229"/>
      <c r="CV339" s="217"/>
      <c r="CW339" s="217"/>
      <c r="CX339" s="217"/>
      <c r="CY339" s="217"/>
      <c r="CZ339" s="217"/>
      <c r="DA339" s="229"/>
      <c r="DB339" s="217"/>
      <c r="DC339" s="217"/>
      <c r="DD339" s="217"/>
      <c r="DE339" s="217"/>
      <c r="DF339" s="217"/>
      <c r="DG339" s="229"/>
      <c r="DH339" s="217"/>
      <c r="DI339" s="217"/>
      <c r="DJ339" s="217"/>
      <c r="DK339" s="217"/>
      <c r="DL339" s="217"/>
      <c r="DM339" s="229"/>
      <c r="DN339" s="217"/>
      <c r="DO339" s="217"/>
      <c r="DP339" s="217"/>
      <c r="DQ339" s="217"/>
      <c r="DR339" s="217"/>
      <c r="DS339" s="229"/>
      <c r="DT339" s="229"/>
      <c r="DU339" s="229"/>
      <c r="DV339" s="217"/>
      <c r="DW339" s="217"/>
      <c r="DX339" s="230"/>
      <c r="DY339" s="231"/>
      <c r="DZ339" s="231"/>
      <c r="EA339" s="230"/>
      <c r="EB339" s="232"/>
      <c r="EC339" s="217"/>
      <c r="ED339" s="233"/>
      <c r="EE339" s="234"/>
      <c r="EF339" s="235"/>
      <c r="EG339" s="233"/>
      <c r="EH339" s="236"/>
      <c r="EI339" s="217"/>
      <c r="EJ339" s="237"/>
      <c r="EK339" s="217"/>
      <c r="EL339" s="217"/>
      <c r="EM339" s="238"/>
      <c r="EN339" s="236"/>
      <c r="EO339" s="239"/>
      <c r="EP339" s="236"/>
      <c r="EQ339" s="217"/>
      <c r="ER339" s="217"/>
      <c r="ES339" s="236"/>
      <c r="ET339" s="236"/>
      <c r="EU339" s="236"/>
      <c r="EV339" s="239"/>
      <c r="EW339" s="236"/>
      <c r="EX339" s="217"/>
      <c r="EY339" s="240"/>
      <c r="EZ339" s="241"/>
      <c r="FA339" s="240"/>
      <c r="FB339" s="241"/>
      <c r="FC339" s="240"/>
      <c r="FD339" s="217"/>
      <c r="FE339" s="240"/>
      <c r="FF339" s="217"/>
      <c r="FG339" s="217"/>
      <c r="FH339" s="217"/>
      <c r="FI339" s="217"/>
      <c r="FJ339" s="217"/>
      <c r="FK339" s="240"/>
      <c r="FL339" s="217"/>
      <c r="FM339" s="240"/>
      <c r="FN339" s="217"/>
      <c r="FO339" s="240"/>
      <c r="FP339" s="217"/>
      <c r="FQ339" s="240"/>
      <c r="FR339" s="217"/>
      <c r="FS339" s="236"/>
      <c r="FT339" s="236"/>
      <c r="FU339" s="236"/>
      <c r="FV339" s="236"/>
      <c r="FW339" s="239"/>
      <c r="FX339" s="236"/>
      <c r="FY339" s="217"/>
      <c r="FZ339" s="240"/>
      <c r="GA339" s="217"/>
      <c r="GB339" s="242"/>
      <c r="GC339" s="217"/>
      <c r="GD339" s="240"/>
      <c r="GE339" s="240"/>
      <c r="GF339" s="240"/>
      <c r="GG339" s="240"/>
      <c r="GH339" s="240"/>
      <c r="GI339" s="217"/>
      <c r="GJ339" s="217"/>
      <c r="GK339" s="239"/>
      <c r="GL339" s="243"/>
    </row>
    <row r="340" ht="15.75" customHeight="1">
      <c r="A340" s="229"/>
      <c r="B340" s="258"/>
      <c r="C340" s="259"/>
      <c r="D340" s="260"/>
      <c r="E340" s="229"/>
      <c r="F340" s="261"/>
      <c r="G340" s="261"/>
      <c r="H340" s="262"/>
      <c r="I340" s="259"/>
      <c r="J340" s="259"/>
      <c r="K340" s="229"/>
      <c r="L340" s="229"/>
      <c r="M340" s="229"/>
      <c r="N340" s="229"/>
      <c r="O340" s="229"/>
      <c r="P340" s="217"/>
      <c r="Q340" s="229"/>
      <c r="R340" s="218"/>
      <c r="S340" s="265"/>
      <c r="T340" s="220"/>
      <c r="U340" s="220"/>
      <c r="V340" s="221"/>
      <c r="W340" s="220"/>
      <c r="X340" s="222"/>
      <c r="Y340" s="222"/>
      <c r="Z340" s="229"/>
      <c r="AA340" s="229"/>
      <c r="AB340" s="229"/>
      <c r="AC340" s="229"/>
      <c r="AD340" s="229"/>
      <c r="AE340" s="229"/>
      <c r="AF340" s="229"/>
      <c r="AG340" s="264"/>
      <c r="AH340" s="224"/>
      <c r="AI340" s="264"/>
      <c r="AJ340" s="224"/>
      <c r="AK340" s="237"/>
      <c r="AL340" s="258"/>
      <c r="AM340" s="258"/>
      <c r="AN340" s="229"/>
      <c r="AO340" s="229"/>
      <c r="AP340" s="229"/>
      <c r="AQ340" s="259"/>
      <c r="AR340" s="259"/>
      <c r="AS340" s="229"/>
      <c r="AT340" s="229"/>
      <c r="AU340" s="229"/>
      <c r="AV340" s="229"/>
      <c r="AW340" s="264"/>
      <c r="AX340" s="264"/>
      <c r="AY340" s="264"/>
      <c r="AZ340" s="264"/>
      <c r="BA340" s="219"/>
      <c r="BB340" s="219"/>
      <c r="BC340" s="229"/>
      <c r="BD340" s="229"/>
      <c r="BE340" s="217"/>
      <c r="BF340" s="229"/>
      <c r="BG340" s="258"/>
      <c r="BH340" s="258"/>
      <c r="BI340" s="229"/>
      <c r="BJ340" s="229"/>
      <c r="BK340" s="229"/>
      <c r="BL340" s="229"/>
      <c r="BM340" s="258"/>
      <c r="BN340" s="258"/>
      <c r="BO340" s="258"/>
      <c r="BP340" s="258"/>
      <c r="BQ340" s="229"/>
      <c r="BR340" s="258"/>
      <c r="BS340" s="258"/>
      <c r="BT340" s="258"/>
      <c r="BU340" s="258"/>
      <c r="BV340" s="229"/>
      <c r="BW340" s="229"/>
      <c r="BX340" s="241"/>
      <c r="BY340" s="241"/>
      <c r="BZ340" s="241"/>
      <c r="CA340" s="217"/>
      <c r="CB340" s="217"/>
      <c r="CC340" s="229"/>
      <c r="CD340" s="217"/>
      <c r="CE340" s="217"/>
      <c r="CF340" s="217"/>
      <c r="CG340" s="217"/>
      <c r="CH340" s="217"/>
      <c r="CI340" s="229"/>
      <c r="CJ340" s="217"/>
      <c r="CK340" s="217"/>
      <c r="CL340" s="217"/>
      <c r="CM340" s="217"/>
      <c r="CN340" s="217"/>
      <c r="CO340" s="229"/>
      <c r="CP340" s="217"/>
      <c r="CQ340" s="217"/>
      <c r="CR340" s="217"/>
      <c r="CS340" s="217"/>
      <c r="CT340" s="217"/>
      <c r="CU340" s="229"/>
      <c r="CV340" s="217"/>
      <c r="CW340" s="217"/>
      <c r="CX340" s="217"/>
      <c r="CY340" s="217"/>
      <c r="CZ340" s="217"/>
      <c r="DA340" s="229"/>
      <c r="DB340" s="217"/>
      <c r="DC340" s="217"/>
      <c r="DD340" s="217"/>
      <c r="DE340" s="217"/>
      <c r="DF340" s="217"/>
      <c r="DG340" s="229"/>
      <c r="DH340" s="217"/>
      <c r="DI340" s="217"/>
      <c r="DJ340" s="217"/>
      <c r="DK340" s="217"/>
      <c r="DL340" s="217"/>
      <c r="DM340" s="229"/>
      <c r="DN340" s="217"/>
      <c r="DO340" s="217"/>
      <c r="DP340" s="217"/>
      <c r="DQ340" s="217"/>
      <c r="DR340" s="217"/>
      <c r="DS340" s="229"/>
      <c r="DT340" s="229"/>
      <c r="DU340" s="229"/>
      <c r="DV340" s="217"/>
      <c r="DW340" s="217"/>
      <c r="DX340" s="230"/>
      <c r="DY340" s="231"/>
      <c r="DZ340" s="231"/>
      <c r="EA340" s="230"/>
      <c r="EB340" s="232"/>
      <c r="EC340" s="217"/>
      <c r="ED340" s="233"/>
      <c r="EE340" s="234"/>
      <c r="EF340" s="235"/>
      <c r="EG340" s="233"/>
      <c r="EH340" s="236"/>
      <c r="EI340" s="217"/>
      <c r="EJ340" s="237"/>
      <c r="EK340" s="217"/>
      <c r="EL340" s="217"/>
      <c r="EM340" s="238"/>
      <c r="EN340" s="236"/>
      <c r="EO340" s="239"/>
      <c r="EP340" s="236"/>
      <c r="EQ340" s="217"/>
      <c r="ER340" s="217"/>
      <c r="ES340" s="236"/>
      <c r="ET340" s="236"/>
      <c r="EU340" s="236"/>
      <c r="EV340" s="239"/>
      <c r="EW340" s="236"/>
      <c r="EX340" s="217"/>
      <c r="EY340" s="240"/>
      <c r="EZ340" s="241"/>
      <c r="FA340" s="240"/>
      <c r="FB340" s="241"/>
      <c r="FC340" s="240"/>
      <c r="FD340" s="217"/>
      <c r="FE340" s="240"/>
      <c r="FF340" s="217"/>
      <c r="FG340" s="217"/>
      <c r="FH340" s="217"/>
      <c r="FI340" s="217"/>
      <c r="FJ340" s="217"/>
      <c r="FK340" s="240"/>
      <c r="FL340" s="217"/>
      <c r="FM340" s="240"/>
      <c r="FN340" s="217"/>
      <c r="FO340" s="240"/>
      <c r="FP340" s="217"/>
      <c r="FQ340" s="240"/>
      <c r="FR340" s="217"/>
      <c r="FS340" s="236"/>
      <c r="FT340" s="236"/>
      <c r="FU340" s="236"/>
      <c r="FV340" s="236"/>
      <c r="FW340" s="239"/>
      <c r="FX340" s="236"/>
      <c r="FY340" s="217"/>
      <c r="FZ340" s="240"/>
      <c r="GA340" s="217"/>
      <c r="GB340" s="242"/>
      <c r="GC340" s="217"/>
      <c r="GD340" s="240"/>
      <c r="GE340" s="240"/>
      <c r="GF340" s="240"/>
      <c r="GG340" s="240"/>
      <c r="GH340" s="240"/>
      <c r="GI340" s="217"/>
      <c r="GJ340" s="217"/>
      <c r="GK340" s="239"/>
      <c r="GL340" s="243"/>
    </row>
    <row r="341" ht="15.75" customHeight="1">
      <c r="A341" s="229"/>
      <c r="B341" s="258"/>
      <c r="C341" s="259"/>
      <c r="D341" s="260"/>
      <c r="E341" s="229"/>
      <c r="F341" s="261"/>
      <c r="G341" s="261"/>
      <c r="H341" s="262"/>
      <c r="I341" s="259"/>
      <c r="J341" s="259"/>
      <c r="K341" s="229"/>
      <c r="L341" s="229"/>
      <c r="M341" s="229"/>
      <c r="N341" s="229"/>
      <c r="O341" s="229"/>
      <c r="P341" s="217"/>
      <c r="Q341" s="229"/>
      <c r="R341" s="218"/>
      <c r="S341" s="265"/>
      <c r="T341" s="220"/>
      <c r="U341" s="220"/>
      <c r="V341" s="221"/>
      <c r="W341" s="220"/>
      <c r="X341" s="222"/>
      <c r="Y341" s="222"/>
      <c r="Z341" s="229"/>
      <c r="AA341" s="229"/>
      <c r="AB341" s="229"/>
      <c r="AC341" s="229"/>
      <c r="AD341" s="229"/>
      <c r="AE341" s="229"/>
      <c r="AF341" s="229"/>
      <c r="AG341" s="264"/>
      <c r="AH341" s="224"/>
      <c r="AI341" s="264"/>
      <c r="AJ341" s="224"/>
      <c r="AK341" s="237"/>
      <c r="AL341" s="258"/>
      <c r="AM341" s="258"/>
      <c r="AN341" s="229"/>
      <c r="AO341" s="229"/>
      <c r="AP341" s="229"/>
      <c r="AQ341" s="259"/>
      <c r="AR341" s="259"/>
      <c r="AS341" s="229"/>
      <c r="AT341" s="229"/>
      <c r="AU341" s="229"/>
      <c r="AV341" s="229"/>
      <c r="AW341" s="264"/>
      <c r="AX341" s="264"/>
      <c r="AY341" s="264"/>
      <c r="AZ341" s="264"/>
      <c r="BA341" s="219"/>
      <c r="BB341" s="219"/>
      <c r="BC341" s="229"/>
      <c r="BD341" s="229"/>
      <c r="BE341" s="217"/>
      <c r="BF341" s="229"/>
      <c r="BG341" s="258"/>
      <c r="BH341" s="258"/>
      <c r="BI341" s="229"/>
      <c r="BJ341" s="229"/>
      <c r="BK341" s="229"/>
      <c r="BL341" s="229"/>
      <c r="BM341" s="258"/>
      <c r="BN341" s="258"/>
      <c r="BO341" s="258"/>
      <c r="BP341" s="258"/>
      <c r="BQ341" s="229"/>
      <c r="BR341" s="258"/>
      <c r="BS341" s="258"/>
      <c r="BT341" s="258"/>
      <c r="BU341" s="258"/>
      <c r="BV341" s="229"/>
      <c r="BW341" s="229"/>
      <c r="BX341" s="241"/>
      <c r="BY341" s="241"/>
      <c r="BZ341" s="241"/>
      <c r="CA341" s="217"/>
      <c r="CB341" s="217"/>
      <c r="CC341" s="229"/>
      <c r="CD341" s="217"/>
      <c r="CE341" s="217"/>
      <c r="CF341" s="217"/>
      <c r="CG341" s="217"/>
      <c r="CH341" s="217"/>
      <c r="CI341" s="229"/>
      <c r="CJ341" s="217"/>
      <c r="CK341" s="217"/>
      <c r="CL341" s="217"/>
      <c r="CM341" s="217"/>
      <c r="CN341" s="217"/>
      <c r="CO341" s="229"/>
      <c r="CP341" s="217"/>
      <c r="CQ341" s="217"/>
      <c r="CR341" s="217"/>
      <c r="CS341" s="217"/>
      <c r="CT341" s="217"/>
      <c r="CU341" s="229"/>
      <c r="CV341" s="217"/>
      <c r="CW341" s="217"/>
      <c r="CX341" s="217"/>
      <c r="CY341" s="217"/>
      <c r="CZ341" s="217"/>
      <c r="DA341" s="229"/>
      <c r="DB341" s="217"/>
      <c r="DC341" s="217"/>
      <c r="DD341" s="217"/>
      <c r="DE341" s="217"/>
      <c r="DF341" s="217"/>
      <c r="DG341" s="229"/>
      <c r="DH341" s="217"/>
      <c r="DI341" s="217"/>
      <c r="DJ341" s="217"/>
      <c r="DK341" s="217"/>
      <c r="DL341" s="217"/>
      <c r="DM341" s="229"/>
      <c r="DN341" s="217"/>
      <c r="DO341" s="217"/>
      <c r="DP341" s="217"/>
      <c r="DQ341" s="217"/>
      <c r="DR341" s="217"/>
      <c r="DS341" s="229"/>
      <c r="DT341" s="229"/>
      <c r="DU341" s="229"/>
      <c r="DV341" s="217"/>
      <c r="DW341" s="217"/>
      <c r="DX341" s="230"/>
      <c r="DY341" s="231"/>
      <c r="DZ341" s="231"/>
      <c r="EA341" s="230"/>
      <c r="EB341" s="232"/>
      <c r="EC341" s="217"/>
      <c r="ED341" s="233"/>
      <c r="EE341" s="234"/>
      <c r="EF341" s="235"/>
      <c r="EG341" s="233"/>
      <c r="EH341" s="236"/>
      <c r="EI341" s="217"/>
      <c r="EJ341" s="237"/>
      <c r="EK341" s="217"/>
      <c r="EL341" s="217"/>
      <c r="EM341" s="238"/>
      <c r="EN341" s="236"/>
      <c r="EO341" s="239"/>
      <c r="EP341" s="236"/>
      <c r="EQ341" s="217"/>
      <c r="ER341" s="217"/>
      <c r="ES341" s="236"/>
      <c r="ET341" s="236"/>
      <c r="EU341" s="236"/>
      <c r="EV341" s="239"/>
      <c r="EW341" s="236"/>
      <c r="EX341" s="217"/>
      <c r="EY341" s="240"/>
      <c r="EZ341" s="241"/>
      <c r="FA341" s="240"/>
      <c r="FB341" s="241"/>
      <c r="FC341" s="240"/>
      <c r="FD341" s="217"/>
      <c r="FE341" s="240"/>
      <c r="FF341" s="217"/>
      <c r="FG341" s="217"/>
      <c r="FH341" s="217"/>
      <c r="FI341" s="217"/>
      <c r="FJ341" s="217"/>
      <c r="FK341" s="240"/>
      <c r="FL341" s="217"/>
      <c r="FM341" s="240"/>
      <c r="FN341" s="217"/>
      <c r="FO341" s="240"/>
      <c r="FP341" s="217"/>
      <c r="FQ341" s="240"/>
      <c r="FR341" s="217"/>
      <c r="FS341" s="236"/>
      <c r="FT341" s="236"/>
      <c r="FU341" s="236"/>
      <c r="FV341" s="236"/>
      <c r="FW341" s="239"/>
      <c r="FX341" s="236"/>
      <c r="FY341" s="217"/>
      <c r="FZ341" s="240"/>
      <c r="GA341" s="217"/>
      <c r="GB341" s="242"/>
      <c r="GC341" s="217"/>
      <c r="GD341" s="240"/>
      <c r="GE341" s="240"/>
      <c r="GF341" s="240"/>
      <c r="GG341" s="240"/>
      <c r="GH341" s="240"/>
      <c r="GI341" s="217"/>
      <c r="GJ341" s="217"/>
      <c r="GK341" s="239"/>
      <c r="GL341" s="243"/>
    </row>
    <row r="342" ht="15.75" customHeight="1">
      <c r="A342" s="229"/>
      <c r="B342" s="258"/>
      <c r="C342" s="259"/>
      <c r="D342" s="260"/>
      <c r="E342" s="229"/>
      <c r="F342" s="261"/>
      <c r="G342" s="261"/>
      <c r="H342" s="262"/>
      <c r="I342" s="259"/>
      <c r="J342" s="259"/>
      <c r="K342" s="229"/>
      <c r="L342" s="229"/>
      <c r="M342" s="229"/>
      <c r="N342" s="229"/>
      <c r="O342" s="229"/>
      <c r="P342" s="217"/>
      <c r="Q342" s="229"/>
      <c r="R342" s="218"/>
      <c r="S342" s="265"/>
      <c r="T342" s="220"/>
      <c r="U342" s="220"/>
      <c r="V342" s="221"/>
      <c r="W342" s="220"/>
      <c r="X342" s="222"/>
      <c r="Y342" s="222"/>
      <c r="Z342" s="229"/>
      <c r="AA342" s="229"/>
      <c r="AB342" s="229"/>
      <c r="AC342" s="229"/>
      <c r="AD342" s="229"/>
      <c r="AE342" s="229"/>
      <c r="AF342" s="229"/>
      <c r="AG342" s="264"/>
      <c r="AH342" s="224"/>
      <c r="AI342" s="264"/>
      <c r="AJ342" s="224"/>
      <c r="AK342" s="237"/>
      <c r="AL342" s="258"/>
      <c r="AM342" s="258"/>
      <c r="AN342" s="229"/>
      <c r="AO342" s="229"/>
      <c r="AP342" s="229"/>
      <c r="AQ342" s="259"/>
      <c r="AR342" s="259"/>
      <c r="AS342" s="229"/>
      <c r="AT342" s="229"/>
      <c r="AU342" s="229"/>
      <c r="AV342" s="229"/>
      <c r="AW342" s="264"/>
      <c r="AX342" s="264"/>
      <c r="AY342" s="264"/>
      <c r="AZ342" s="264"/>
      <c r="BA342" s="219"/>
      <c r="BB342" s="219"/>
      <c r="BC342" s="229"/>
      <c r="BD342" s="229"/>
      <c r="BE342" s="217"/>
      <c r="BF342" s="229"/>
      <c r="BG342" s="258"/>
      <c r="BH342" s="258"/>
      <c r="BI342" s="229"/>
      <c r="BJ342" s="229"/>
      <c r="BK342" s="229"/>
      <c r="BL342" s="229"/>
      <c r="BM342" s="258"/>
      <c r="BN342" s="258"/>
      <c r="BO342" s="258"/>
      <c r="BP342" s="258"/>
      <c r="BQ342" s="229"/>
      <c r="BR342" s="258"/>
      <c r="BS342" s="258"/>
      <c r="BT342" s="258"/>
      <c r="BU342" s="258"/>
      <c r="BV342" s="229"/>
      <c r="BW342" s="229"/>
      <c r="BX342" s="241"/>
      <c r="BY342" s="241"/>
      <c r="BZ342" s="241"/>
      <c r="CA342" s="217"/>
      <c r="CB342" s="217"/>
      <c r="CC342" s="229"/>
      <c r="CD342" s="217"/>
      <c r="CE342" s="217"/>
      <c r="CF342" s="217"/>
      <c r="CG342" s="217"/>
      <c r="CH342" s="217"/>
      <c r="CI342" s="229"/>
      <c r="CJ342" s="217"/>
      <c r="CK342" s="217"/>
      <c r="CL342" s="217"/>
      <c r="CM342" s="217"/>
      <c r="CN342" s="217"/>
      <c r="CO342" s="229"/>
      <c r="CP342" s="217"/>
      <c r="CQ342" s="217"/>
      <c r="CR342" s="217"/>
      <c r="CS342" s="217"/>
      <c r="CT342" s="217"/>
      <c r="CU342" s="229"/>
      <c r="CV342" s="217"/>
      <c r="CW342" s="217"/>
      <c r="CX342" s="217"/>
      <c r="CY342" s="217"/>
      <c r="CZ342" s="217"/>
      <c r="DA342" s="229"/>
      <c r="DB342" s="217"/>
      <c r="DC342" s="217"/>
      <c r="DD342" s="217"/>
      <c r="DE342" s="217"/>
      <c r="DF342" s="217"/>
      <c r="DG342" s="229"/>
      <c r="DH342" s="217"/>
      <c r="DI342" s="217"/>
      <c r="DJ342" s="217"/>
      <c r="DK342" s="217"/>
      <c r="DL342" s="217"/>
      <c r="DM342" s="229"/>
      <c r="DN342" s="217"/>
      <c r="DO342" s="217"/>
      <c r="DP342" s="217"/>
      <c r="DQ342" s="217"/>
      <c r="DR342" s="217"/>
      <c r="DS342" s="229"/>
      <c r="DT342" s="229"/>
      <c r="DU342" s="229"/>
      <c r="DV342" s="217"/>
      <c r="DW342" s="217"/>
      <c r="DX342" s="230"/>
      <c r="DY342" s="231"/>
      <c r="DZ342" s="231"/>
      <c r="EA342" s="230"/>
      <c r="EB342" s="232"/>
      <c r="EC342" s="217"/>
      <c r="ED342" s="233"/>
      <c r="EE342" s="234"/>
      <c r="EF342" s="235"/>
      <c r="EG342" s="233"/>
      <c r="EH342" s="236"/>
      <c r="EI342" s="217"/>
      <c r="EJ342" s="237"/>
      <c r="EK342" s="217"/>
      <c r="EL342" s="217"/>
      <c r="EM342" s="238"/>
      <c r="EN342" s="236"/>
      <c r="EO342" s="239"/>
      <c r="EP342" s="236"/>
      <c r="EQ342" s="217"/>
      <c r="ER342" s="217"/>
      <c r="ES342" s="236"/>
      <c r="ET342" s="236"/>
      <c r="EU342" s="236"/>
      <c r="EV342" s="239"/>
      <c r="EW342" s="236"/>
      <c r="EX342" s="217"/>
      <c r="EY342" s="240"/>
      <c r="EZ342" s="241"/>
      <c r="FA342" s="240"/>
      <c r="FB342" s="241"/>
      <c r="FC342" s="240"/>
      <c r="FD342" s="217"/>
      <c r="FE342" s="240"/>
      <c r="FF342" s="217"/>
      <c r="FG342" s="217"/>
      <c r="FH342" s="217"/>
      <c r="FI342" s="217"/>
      <c r="FJ342" s="217"/>
      <c r="FK342" s="240"/>
      <c r="FL342" s="217"/>
      <c r="FM342" s="240"/>
      <c r="FN342" s="217"/>
      <c r="FO342" s="240"/>
      <c r="FP342" s="217"/>
      <c r="FQ342" s="240"/>
      <c r="FR342" s="217"/>
      <c r="FS342" s="236"/>
      <c r="FT342" s="236"/>
      <c r="FU342" s="236"/>
      <c r="FV342" s="236"/>
      <c r="FW342" s="239"/>
      <c r="FX342" s="236"/>
      <c r="FY342" s="217"/>
      <c r="FZ342" s="240"/>
      <c r="GA342" s="217"/>
      <c r="GB342" s="242"/>
      <c r="GC342" s="217"/>
      <c r="GD342" s="240"/>
      <c r="GE342" s="240"/>
      <c r="GF342" s="240"/>
      <c r="GG342" s="240"/>
      <c r="GH342" s="240"/>
      <c r="GI342" s="217"/>
      <c r="GJ342" s="217"/>
      <c r="GK342" s="239"/>
      <c r="GL342" s="243"/>
    </row>
    <row r="343" ht="15.75" customHeight="1">
      <c r="A343" s="229"/>
      <c r="B343" s="258"/>
      <c r="C343" s="259"/>
      <c r="D343" s="260"/>
      <c r="E343" s="229"/>
      <c r="F343" s="261"/>
      <c r="G343" s="261"/>
      <c r="H343" s="262"/>
      <c r="I343" s="259"/>
      <c r="J343" s="259"/>
      <c r="K343" s="229"/>
      <c r="L343" s="229"/>
      <c r="M343" s="229"/>
      <c r="N343" s="229"/>
      <c r="O343" s="229"/>
      <c r="P343" s="217"/>
      <c r="Q343" s="229"/>
      <c r="R343" s="218"/>
      <c r="S343" s="265"/>
      <c r="T343" s="220"/>
      <c r="U343" s="220"/>
      <c r="V343" s="221"/>
      <c r="W343" s="220"/>
      <c r="X343" s="222"/>
      <c r="Y343" s="222"/>
      <c r="Z343" s="229"/>
      <c r="AA343" s="229"/>
      <c r="AB343" s="229"/>
      <c r="AC343" s="229"/>
      <c r="AD343" s="229"/>
      <c r="AE343" s="229"/>
      <c r="AF343" s="229"/>
      <c r="AG343" s="264"/>
      <c r="AH343" s="224"/>
      <c r="AI343" s="264"/>
      <c r="AJ343" s="224"/>
      <c r="AK343" s="237"/>
      <c r="AL343" s="258"/>
      <c r="AM343" s="258"/>
      <c r="AN343" s="229"/>
      <c r="AO343" s="229"/>
      <c r="AP343" s="229"/>
      <c r="AQ343" s="259"/>
      <c r="AR343" s="259"/>
      <c r="AS343" s="229"/>
      <c r="AT343" s="229"/>
      <c r="AU343" s="229"/>
      <c r="AV343" s="229"/>
      <c r="AW343" s="264"/>
      <c r="AX343" s="264"/>
      <c r="AY343" s="264"/>
      <c r="AZ343" s="264"/>
      <c r="BA343" s="219"/>
      <c r="BB343" s="219"/>
      <c r="BC343" s="229"/>
      <c r="BD343" s="229"/>
      <c r="BE343" s="217"/>
      <c r="BF343" s="229"/>
      <c r="BG343" s="258"/>
      <c r="BH343" s="258"/>
      <c r="BI343" s="229"/>
      <c r="BJ343" s="229"/>
      <c r="BK343" s="229"/>
      <c r="BL343" s="229"/>
      <c r="BM343" s="258"/>
      <c r="BN343" s="258"/>
      <c r="BO343" s="258"/>
      <c r="BP343" s="258"/>
      <c r="BQ343" s="229"/>
      <c r="BR343" s="258"/>
      <c r="BS343" s="258"/>
      <c r="BT343" s="258"/>
      <c r="BU343" s="258"/>
      <c r="BV343" s="229"/>
      <c r="BW343" s="229"/>
      <c r="BX343" s="241"/>
      <c r="BY343" s="241"/>
      <c r="BZ343" s="241"/>
      <c r="CA343" s="217"/>
      <c r="CB343" s="217"/>
      <c r="CC343" s="229"/>
      <c r="CD343" s="217"/>
      <c r="CE343" s="217"/>
      <c r="CF343" s="217"/>
      <c r="CG343" s="217"/>
      <c r="CH343" s="217"/>
      <c r="CI343" s="229"/>
      <c r="CJ343" s="217"/>
      <c r="CK343" s="217"/>
      <c r="CL343" s="217"/>
      <c r="CM343" s="217"/>
      <c r="CN343" s="217"/>
      <c r="CO343" s="229"/>
      <c r="CP343" s="217"/>
      <c r="CQ343" s="217"/>
      <c r="CR343" s="217"/>
      <c r="CS343" s="217"/>
      <c r="CT343" s="217"/>
      <c r="CU343" s="229"/>
      <c r="CV343" s="217"/>
      <c r="CW343" s="217"/>
      <c r="CX343" s="217"/>
      <c r="CY343" s="217"/>
      <c r="CZ343" s="217"/>
      <c r="DA343" s="229"/>
      <c r="DB343" s="217"/>
      <c r="DC343" s="217"/>
      <c r="DD343" s="217"/>
      <c r="DE343" s="217"/>
      <c r="DF343" s="217"/>
      <c r="DG343" s="229"/>
      <c r="DH343" s="217"/>
      <c r="DI343" s="217"/>
      <c r="DJ343" s="217"/>
      <c r="DK343" s="217"/>
      <c r="DL343" s="217"/>
      <c r="DM343" s="229"/>
      <c r="DN343" s="217"/>
      <c r="DO343" s="217"/>
      <c r="DP343" s="217"/>
      <c r="DQ343" s="217"/>
      <c r="DR343" s="217"/>
      <c r="DS343" s="229"/>
      <c r="DT343" s="229"/>
      <c r="DU343" s="229"/>
      <c r="DV343" s="217"/>
      <c r="DW343" s="217"/>
      <c r="DX343" s="230"/>
      <c r="DY343" s="231"/>
      <c r="DZ343" s="231"/>
      <c r="EA343" s="230"/>
      <c r="EB343" s="232"/>
      <c r="EC343" s="217"/>
      <c r="ED343" s="233"/>
      <c r="EE343" s="234"/>
      <c r="EF343" s="235"/>
      <c r="EG343" s="233"/>
      <c r="EH343" s="236"/>
      <c r="EI343" s="217"/>
      <c r="EJ343" s="237"/>
      <c r="EK343" s="217"/>
      <c r="EL343" s="217"/>
      <c r="EM343" s="238"/>
      <c r="EN343" s="236"/>
      <c r="EO343" s="239"/>
      <c r="EP343" s="236"/>
      <c r="EQ343" s="217"/>
      <c r="ER343" s="217"/>
      <c r="ES343" s="236"/>
      <c r="ET343" s="236"/>
      <c r="EU343" s="236"/>
      <c r="EV343" s="239"/>
      <c r="EW343" s="236"/>
      <c r="EX343" s="217"/>
      <c r="EY343" s="240"/>
      <c r="EZ343" s="241"/>
      <c r="FA343" s="240"/>
      <c r="FB343" s="241"/>
      <c r="FC343" s="240"/>
      <c r="FD343" s="217"/>
      <c r="FE343" s="240"/>
      <c r="FF343" s="217"/>
      <c r="FG343" s="217"/>
      <c r="FH343" s="217"/>
      <c r="FI343" s="217"/>
      <c r="FJ343" s="217"/>
      <c r="FK343" s="240"/>
      <c r="FL343" s="217"/>
      <c r="FM343" s="240"/>
      <c r="FN343" s="217"/>
      <c r="FO343" s="240"/>
      <c r="FP343" s="217"/>
      <c r="FQ343" s="240"/>
      <c r="FR343" s="217"/>
      <c r="FS343" s="236"/>
      <c r="FT343" s="236"/>
      <c r="FU343" s="236"/>
      <c r="FV343" s="236"/>
      <c r="FW343" s="239"/>
      <c r="FX343" s="236"/>
      <c r="FY343" s="217"/>
      <c r="FZ343" s="240"/>
      <c r="GA343" s="217"/>
      <c r="GB343" s="242"/>
      <c r="GC343" s="217"/>
      <c r="GD343" s="240"/>
      <c r="GE343" s="240"/>
      <c r="GF343" s="240"/>
      <c r="GG343" s="240"/>
      <c r="GH343" s="240"/>
      <c r="GI343" s="217"/>
      <c r="GJ343" s="217"/>
      <c r="GK343" s="239"/>
      <c r="GL343" s="243"/>
    </row>
    <row r="344" ht="15.75" customHeight="1">
      <c r="A344" s="229"/>
      <c r="B344" s="258"/>
      <c r="C344" s="259"/>
      <c r="D344" s="260"/>
      <c r="E344" s="229"/>
      <c r="F344" s="261"/>
      <c r="G344" s="261"/>
      <c r="H344" s="262"/>
      <c r="I344" s="259"/>
      <c r="J344" s="259"/>
      <c r="K344" s="229"/>
      <c r="L344" s="229"/>
      <c r="M344" s="229"/>
      <c r="N344" s="229"/>
      <c r="O344" s="229"/>
      <c r="P344" s="217"/>
      <c r="Q344" s="229"/>
      <c r="R344" s="218"/>
      <c r="S344" s="265"/>
      <c r="T344" s="220"/>
      <c r="U344" s="220"/>
      <c r="V344" s="221"/>
      <c r="W344" s="220"/>
      <c r="X344" s="222"/>
      <c r="Y344" s="222"/>
      <c r="Z344" s="229"/>
      <c r="AA344" s="229"/>
      <c r="AB344" s="229"/>
      <c r="AC344" s="229"/>
      <c r="AD344" s="229"/>
      <c r="AE344" s="229"/>
      <c r="AF344" s="229"/>
      <c r="AG344" s="264"/>
      <c r="AH344" s="224"/>
      <c r="AI344" s="264"/>
      <c r="AJ344" s="224"/>
      <c r="AK344" s="237"/>
      <c r="AL344" s="258"/>
      <c r="AM344" s="258"/>
      <c r="AN344" s="229"/>
      <c r="AO344" s="229"/>
      <c r="AP344" s="229"/>
      <c r="AQ344" s="259"/>
      <c r="AR344" s="259"/>
      <c r="AS344" s="229"/>
      <c r="AT344" s="229"/>
      <c r="AU344" s="229"/>
      <c r="AV344" s="229"/>
      <c r="AW344" s="264"/>
      <c r="AX344" s="264"/>
      <c r="AY344" s="264"/>
      <c r="AZ344" s="264"/>
      <c r="BA344" s="219"/>
      <c r="BB344" s="219"/>
      <c r="BC344" s="229"/>
      <c r="BD344" s="229"/>
      <c r="BE344" s="217"/>
      <c r="BF344" s="229"/>
      <c r="BG344" s="258"/>
      <c r="BH344" s="258"/>
      <c r="BI344" s="229"/>
      <c r="BJ344" s="229"/>
      <c r="BK344" s="229"/>
      <c r="BL344" s="229"/>
      <c r="BM344" s="258"/>
      <c r="BN344" s="258"/>
      <c r="BO344" s="258"/>
      <c r="BP344" s="258"/>
      <c r="BQ344" s="229"/>
      <c r="BR344" s="258"/>
      <c r="BS344" s="258"/>
      <c r="BT344" s="258"/>
      <c r="BU344" s="258"/>
      <c r="BV344" s="229"/>
      <c r="BW344" s="229"/>
      <c r="BX344" s="241"/>
      <c r="BY344" s="241"/>
      <c r="BZ344" s="241"/>
      <c r="CA344" s="217"/>
      <c r="CB344" s="217"/>
      <c r="CC344" s="229"/>
      <c r="CD344" s="217"/>
      <c r="CE344" s="217"/>
      <c r="CF344" s="217"/>
      <c r="CG344" s="217"/>
      <c r="CH344" s="217"/>
      <c r="CI344" s="229"/>
      <c r="CJ344" s="217"/>
      <c r="CK344" s="217"/>
      <c r="CL344" s="217"/>
      <c r="CM344" s="217"/>
      <c r="CN344" s="217"/>
      <c r="CO344" s="229"/>
      <c r="CP344" s="217"/>
      <c r="CQ344" s="217"/>
      <c r="CR344" s="217"/>
      <c r="CS344" s="217"/>
      <c r="CT344" s="217"/>
      <c r="CU344" s="229"/>
      <c r="CV344" s="217"/>
      <c r="CW344" s="217"/>
      <c r="CX344" s="217"/>
      <c r="CY344" s="217"/>
      <c r="CZ344" s="217"/>
      <c r="DA344" s="229"/>
      <c r="DB344" s="217"/>
      <c r="DC344" s="217"/>
      <c r="DD344" s="217"/>
      <c r="DE344" s="217"/>
      <c r="DF344" s="217"/>
      <c r="DG344" s="229"/>
      <c r="DH344" s="217"/>
      <c r="DI344" s="217"/>
      <c r="DJ344" s="217"/>
      <c r="DK344" s="217"/>
      <c r="DL344" s="217"/>
      <c r="DM344" s="229"/>
      <c r="DN344" s="217"/>
      <c r="DO344" s="217"/>
      <c r="DP344" s="217"/>
      <c r="DQ344" s="217"/>
      <c r="DR344" s="217"/>
      <c r="DS344" s="229"/>
      <c r="DT344" s="229"/>
      <c r="DU344" s="229"/>
      <c r="DV344" s="217"/>
      <c r="DW344" s="217"/>
      <c r="DX344" s="230"/>
      <c r="DY344" s="231"/>
      <c r="DZ344" s="231"/>
      <c r="EA344" s="230"/>
      <c r="EB344" s="232"/>
      <c r="EC344" s="217"/>
      <c r="ED344" s="233"/>
      <c r="EE344" s="234"/>
      <c r="EF344" s="235"/>
      <c r="EG344" s="233"/>
      <c r="EH344" s="236"/>
      <c r="EI344" s="217"/>
      <c r="EJ344" s="237"/>
      <c r="EK344" s="217"/>
      <c r="EL344" s="217"/>
      <c r="EM344" s="238"/>
      <c r="EN344" s="236"/>
      <c r="EO344" s="239"/>
      <c r="EP344" s="236"/>
      <c r="EQ344" s="217"/>
      <c r="ER344" s="217"/>
      <c r="ES344" s="236"/>
      <c r="ET344" s="236"/>
      <c r="EU344" s="236"/>
      <c r="EV344" s="239"/>
      <c r="EW344" s="236"/>
      <c r="EX344" s="217"/>
      <c r="EY344" s="240"/>
      <c r="EZ344" s="241"/>
      <c r="FA344" s="240"/>
      <c r="FB344" s="241"/>
      <c r="FC344" s="240"/>
      <c r="FD344" s="217"/>
      <c r="FE344" s="240"/>
      <c r="FF344" s="217"/>
      <c r="FG344" s="217"/>
      <c r="FH344" s="217"/>
      <c r="FI344" s="217"/>
      <c r="FJ344" s="217"/>
      <c r="FK344" s="240"/>
      <c r="FL344" s="217"/>
      <c r="FM344" s="240"/>
      <c r="FN344" s="217"/>
      <c r="FO344" s="240"/>
      <c r="FP344" s="217"/>
      <c r="FQ344" s="240"/>
      <c r="FR344" s="217"/>
      <c r="FS344" s="236"/>
      <c r="FT344" s="236"/>
      <c r="FU344" s="236"/>
      <c r="FV344" s="236"/>
      <c r="FW344" s="239"/>
      <c r="FX344" s="236"/>
      <c r="FY344" s="217"/>
      <c r="FZ344" s="240"/>
      <c r="GA344" s="217"/>
      <c r="GB344" s="242"/>
      <c r="GC344" s="217"/>
      <c r="GD344" s="240"/>
      <c r="GE344" s="240"/>
      <c r="GF344" s="240"/>
      <c r="GG344" s="240"/>
      <c r="GH344" s="240"/>
      <c r="GI344" s="217"/>
      <c r="GJ344" s="217"/>
      <c r="GK344" s="239"/>
      <c r="GL344" s="243"/>
    </row>
    <row r="345" ht="15.75" customHeight="1">
      <c r="A345" s="229"/>
      <c r="B345" s="258"/>
      <c r="C345" s="259"/>
      <c r="D345" s="260"/>
      <c r="E345" s="229"/>
      <c r="F345" s="261"/>
      <c r="G345" s="261"/>
      <c r="H345" s="262"/>
      <c r="I345" s="259"/>
      <c r="J345" s="259"/>
      <c r="K345" s="229"/>
      <c r="L345" s="229"/>
      <c r="M345" s="229"/>
      <c r="N345" s="229"/>
      <c r="O345" s="229"/>
      <c r="P345" s="217"/>
      <c r="Q345" s="229"/>
      <c r="R345" s="218"/>
      <c r="S345" s="265"/>
      <c r="T345" s="220"/>
      <c r="U345" s="220"/>
      <c r="V345" s="221"/>
      <c r="W345" s="220"/>
      <c r="X345" s="222"/>
      <c r="Y345" s="222"/>
      <c r="Z345" s="229"/>
      <c r="AA345" s="229"/>
      <c r="AB345" s="229"/>
      <c r="AC345" s="229"/>
      <c r="AD345" s="229"/>
      <c r="AE345" s="229"/>
      <c r="AF345" s="229"/>
      <c r="AG345" s="264"/>
      <c r="AH345" s="224"/>
      <c r="AI345" s="264"/>
      <c r="AJ345" s="224"/>
      <c r="AK345" s="237"/>
      <c r="AL345" s="258"/>
      <c r="AM345" s="258"/>
      <c r="AN345" s="229"/>
      <c r="AO345" s="229"/>
      <c r="AP345" s="229"/>
      <c r="AQ345" s="259"/>
      <c r="AR345" s="259"/>
      <c r="AS345" s="229"/>
      <c r="AT345" s="229"/>
      <c r="AU345" s="229"/>
      <c r="AV345" s="229"/>
      <c r="AW345" s="264"/>
      <c r="AX345" s="264"/>
      <c r="AY345" s="264"/>
      <c r="AZ345" s="264"/>
      <c r="BA345" s="219"/>
      <c r="BB345" s="219"/>
      <c r="BC345" s="229"/>
      <c r="BD345" s="229"/>
      <c r="BE345" s="217"/>
      <c r="BF345" s="229"/>
      <c r="BG345" s="258"/>
      <c r="BH345" s="258"/>
      <c r="BI345" s="229"/>
      <c r="BJ345" s="229"/>
      <c r="BK345" s="229"/>
      <c r="BL345" s="229"/>
      <c r="BM345" s="258"/>
      <c r="BN345" s="258"/>
      <c r="BO345" s="258"/>
      <c r="BP345" s="258"/>
      <c r="BQ345" s="229"/>
      <c r="BR345" s="258"/>
      <c r="BS345" s="258"/>
      <c r="BT345" s="258"/>
      <c r="BU345" s="258"/>
      <c r="BV345" s="229"/>
      <c r="BW345" s="229"/>
      <c r="BX345" s="241"/>
      <c r="BY345" s="241"/>
      <c r="BZ345" s="241"/>
      <c r="CA345" s="217"/>
      <c r="CB345" s="217"/>
      <c r="CC345" s="229"/>
      <c r="CD345" s="217"/>
      <c r="CE345" s="217"/>
      <c r="CF345" s="217"/>
      <c r="CG345" s="217"/>
      <c r="CH345" s="217"/>
      <c r="CI345" s="229"/>
      <c r="CJ345" s="217"/>
      <c r="CK345" s="217"/>
      <c r="CL345" s="217"/>
      <c r="CM345" s="217"/>
      <c r="CN345" s="217"/>
      <c r="CO345" s="229"/>
      <c r="CP345" s="217"/>
      <c r="CQ345" s="217"/>
      <c r="CR345" s="217"/>
      <c r="CS345" s="217"/>
      <c r="CT345" s="217"/>
      <c r="CU345" s="229"/>
      <c r="CV345" s="217"/>
      <c r="CW345" s="217"/>
      <c r="CX345" s="217"/>
      <c r="CY345" s="217"/>
      <c r="CZ345" s="217"/>
      <c r="DA345" s="229"/>
      <c r="DB345" s="217"/>
      <c r="DC345" s="217"/>
      <c r="DD345" s="217"/>
      <c r="DE345" s="217"/>
      <c r="DF345" s="217"/>
      <c r="DG345" s="229"/>
      <c r="DH345" s="217"/>
      <c r="DI345" s="217"/>
      <c r="DJ345" s="217"/>
      <c r="DK345" s="217"/>
      <c r="DL345" s="217"/>
      <c r="DM345" s="229"/>
      <c r="DN345" s="217"/>
      <c r="DO345" s="217"/>
      <c r="DP345" s="217"/>
      <c r="DQ345" s="217"/>
      <c r="DR345" s="217"/>
      <c r="DS345" s="229"/>
      <c r="DT345" s="229"/>
      <c r="DU345" s="229"/>
      <c r="DV345" s="217"/>
      <c r="DW345" s="217"/>
      <c r="DX345" s="230"/>
      <c r="DY345" s="231"/>
      <c r="DZ345" s="231"/>
      <c r="EA345" s="230"/>
      <c r="EB345" s="232"/>
      <c r="EC345" s="217"/>
      <c r="ED345" s="233"/>
      <c r="EE345" s="234"/>
      <c r="EF345" s="235"/>
      <c r="EG345" s="233"/>
      <c r="EH345" s="236"/>
      <c r="EI345" s="217"/>
      <c r="EJ345" s="237"/>
      <c r="EK345" s="217"/>
      <c r="EL345" s="217"/>
      <c r="EM345" s="238"/>
      <c r="EN345" s="236"/>
      <c r="EO345" s="239"/>
      <c r="EP345" s="236"/>
      <c r="EQ345" s="217"/>
      <c r="ER345" s="217"/>
      <c r="ES345" s="236"/>
      <c r="ET345" s="236"/>
      <c r="EU345" s="236"/>
      <c r="EV345" s="239"/>
      <c r="EW345" s="236"/>
      <c r="EX345" s="217"/>
      <c r="EY345" s="240"/>
      <c r="EZ345" s="241"/>
      <c r="FA345" s="240"/>
      <c r="FB345" s="241"/>
      <c r="FC345" s="240"/>
      <c r="FD345" s="217"/>
      <c r="FE345" s="240"/>
      <c r="FF345" s="217"/>
      <c r="FG345" s="217"/>
      <c r="FH345" s="217"/>
      <c r="FI345" s="217"/>
      <c r="FJ345" s="217"/>
      <c r="FK345" s="240"/>
      <c r="FL345" s="217"/>
      <c r="FM345" s="240"/>
      <c r="FN345" s="217"/>
      <c r="FO345" s="240"/>
      <c r="FP345" s="217"/>
      <c r="FQ345" s="240"/>
      <c r="FR345" s="217"/>
      <c r="FS345" s="236"/>
      <c r="FT345" s="236"/>
      <c r="FU345" s="236"/>
      <c r="FV345" s="236"/>
      <c r="FW345" s="239"/>
      <c r="FX345" s="236"/>
      <c r="FY345" s="217"/>
      <c r="FZ345" s="240"/>
      <c r="GA345" s="217"/>
      <c r="GB345" s="242"/>
      <c r="GC345" s="217"/>
      <c r="GD345" s="240"/>
      <c r="GE345" s="240"/>
      <c r="GF345" s="240"/>
      <c r="GG345" s="240"/>
      <c r="GH345" s="240"/>
      <c r="GI345" s="217"/>
      <c r="GJ345" s="217"/>
      <c r="GK345" s="239"/>
      <c r="GL345" s="243"/>
    </row>
    <row r="346" ht="15.75" customHeight="1">
      <c r="A346" s="229"/>
      <c r="B346" s="258"/>
      <c r="C346" s="259"/>
      <c r="D346" s="260"/>
      <c r="E346" s="229"/>
      <c r="F346" s="261"/>
      <c r="G346" s="261"/>
      <c r="H346" s="262"/>
      <c r="I346" s="259"/>
      <c r="J346" s="259"/>
      <c r="K346" s="229"/>
      <c r="L346" s="229"/>
      <c r="M346" s="229"/>
      <c r="N346" s="229"/>
      <c r="O346" s="229"/>
      <c r="P346" s="217"/>
      <c r="Q346" s="229"/>
      <c r="R346" s="218"/>
      <c r="S346" s="265"/>
      <c r="T346" s="220"/>
      <c r="U346" s="220"/>
      <c r="V346" s="221"/>
      <c r="W346" s="220"/>
      <c r="X346" s="222"/>
      <c r="Y346" s="222"/>
      <c r="Z346" s="229"/>
      <c r="AA346" s="229"/>
      <c r="AB346" s="229"/>
      <c r="AC346" s="229"/>
      <c r="AD346" s="229"/>
      <c r="AE346" s="229"/>
      <c r="AF346" s="229"/>
      <c r="AG346" s="264"/>
      <c r="AH346" s="224"/>
      <c r="AI346" s="264"/>
      <c r="AJ346" s="224"/>
      <c r="AK346" s="237"/>
      <c r="AL346" s="258"/>
      <c r="AM346" s="258"/>
      <c r="AN346" s="229"/>
      <c r="AO346" s="229"/>
      <c r="AP346" s="229"/>
      <c r="AQ346" s="259"/>
      <c r="AR346" s="259"/>
      <c r="AS346" s="229"/>
      <c r="AT346" s="229"/>
      <c r="AU346" s="229"/>
      <c r="AV346" s="229"/>
      <c r="AW346" s="264"/>
      <c r="AX346" s="264"/>
      <c r="AY346" s="264"/>
      <c r="AZ346" s="264"/>
      <c r="BA346" s="219"/>
      <c r="BB346" s="219"/>
      <c r="BC346" s="229"/>
      <c r="BD346" s="229"/>
      <c r="BE346" s="217"/>
      <c r="BF346" s="229"/>
      <c r="BG346" s="258"/>
      <c r="BH346" s="258"/>
      <c r="BI346" s="229"/>
      <c r="BJ346" s="229"/>
      <c r="BK346" s="229"/>
      <c r="BL346" s="229"/>
      <c r="BM346" s="258"/>
      <c r="BN346" s="258"/>
      <c r="BO346" s="258"/>
      <c r="BP346" s="258"/>
      <c r="BQ346" s="229"/>
      <c r="BR346" s="258"/>
      <c r="BS346" s="258"/>
      <c r="BT346" s="258"/>
      <c r="BU346" s="258"/>
      <c r="BV346" s="229"/>
      <c r="BW346" s="229"/>
      <c r="BX346" s="241"/>
      <c r="BY346" s="241"/>
      <c r="BZ346" s="241"/>
      <c r="CA346" s="217"/>
      <c r="CB346" s="217"/>
      <c r="CC346" s="229"/>
      <c r="CD346" s="217"/>
      <c r="CE346" s="217"/>
      <c r="CF346" s="217"/>
      <c r="CG346" s="217"/>
      <c r="CH346" s="217"/>
      <c r="CI346" s="229"/>
      <c r="CJ346" s="217"/>
      <c r="CK346" s="217"/>
      <c r="CL346" s="217"/>
      <c r="CM346" s="217"/>
      <c r="CN346" s="217"/>
      <c r="CO346" s="229"/>
      <c r="CP346" s="217"/>
      <c r="CQ346" s="217"/>
      <c r="CR346" s="217"/>
      <c r="CS346" s="217"/>
      <c r="CT346" s="217"/>
      <c r="CU346" s="229"/>
      <c r="CV346" s="217"/>
      <c r="CW346" s="217"/>
      <c r="CX346" s="217"/>
      <c r="CY346" s="217"/>
      <c r="CZ346" s="217"/>
      <c r="DA346" s="229"/>
      <c r="DB346" s="217"/>
      <c r="DC346" s="217"/>
      <c r="DD346" s="217"/>
      <c r="DE346" s="217"/>
      <c r="DF346" s="217"/>
      <c r="DG346" s="229"/>
      <c r="DH346" s="217"/>
      <c r="DI346" s="217"/>
      <c r="DJ346" s="217"/>
      <c r="DK346" s="217"/>
      <c r="DL346" s="217"/>
      <c r="DM346" s="229"/>
      <c r="DN346" s="217"/>
      <c r="DO346" s="217"/>
      <c r="DP346" s="217"/>
      <c r="DQ346" s="217"/>
      <c r="DR346" s="217"/>
      <c r="DS346" s="229"/>
      <c r="DT346" s="229"/>
      <c r="DU346" s="229"/>
      <c r="DV346" s="217"/>
      <c r="DW346" s="217"/>
      <c r="DX346" s="230"/>
      <c r="DY346" s="231"/>
      <c r="DZ346" s="231"/>
      <c r="EA346" s="230"/>
      <c r="EB346" s="232"/>
      <c r="EC346" s="217"/>
      <c r="ED346" s="233"/>
      <c r="EE346" s="234"/>
      <c r="EF346" s="235"/>
      <c r="EG346" s="233"/>
      <c r="EH346" s="236"/>
      <c r="EI346" s="217"/>
      <c r="EJ346" s="237"/>
      <c r="EK346" s="217"/>
      <c r="EL346" s="217"/>
      <c r="EM346" s="238"/>
      <c r="EN346" s="236"/>
      <c r="EO346" s="239"/>
      <c r="EP346" s="236"/>
      <c r="EQ346" s="217"/>
      <c r="ER346" s="217"/>
      <c r="ES346" s="236"/>
      <c r="ET346" s="236"/>
      <c r="EU346" s="236"/>
      <c r="EV346" s="239"/>
      <c r="EW346" s="236"/>
      <c r="EX346" s="217"/>
      <c r="EY346" s="240"/>
      <c r="EZ346" s="241"/>
      <c r="FA346" s="240"/>
      <c r="FB346" s="241"/>
      <c r="FC346" s="240"/>
      <c r="FD346" s="217"/>
      <c r="FE346" s="240"/>
      <c r="FF346" s="217"/>
      <c r="FG346" s="217"/>
      <c r="FH346" s="217"/>
      <c r="FI346" s="217"/>
      <c r="FJ346" s="217"/>
      <c r="FK346" s="240"/>
      <c r="FL346" s="217"/>
      <c r="FM346" s="240"/>
      <c r="FN346" s="217"/>
      <c r="FO346" s="240"/>
      <c r="FP346" s="217"/>
      <c r="FQ346" s="240"/>
      <c r="FR346" s="217"/>
      <c r="FS346" s="236"/>
      <c r="FT346" s="236"/>
      <c r="FU346" s="236"/>
      <c r="FV346" s="236"/>
      <c r="FW346" s="239"/>
      <c r="FX346" s="236"/>
      <c r="FY346" s="217"/>
      <c r="FZ346" s="240"/>
      <c r="GA346" s="217"/>
      <c r="GB346" s="242"/>
      <c r="GC346" s="217"/>
      <c r="GD346" s="240"/>
      <c r="GE346" s="240"/>
      <c r="GF346" s="240"/>
      <c r="GG346" s="240"/>
      <c r="GH346" s="240"/>
      <c r="GI346" s="217"/>
      <c r="GJ346" s="217"/>
      <c r="GK346" s="239"/>
      <c r="GL346" s="243"/>
    </row>
    <row r="347" ht="15.75" customHeight="1">
      <c r="A347" s="229"/>
      <c r="B347" s="258"/>
      <c r="C347" s="259"/>
      <c r="D347" s="260"/>
      <c r="E347" s="229"/>
      <c r="F347" s="261"/>
      <c r="G347" s="261"/>
      <c r="H347" s="262"/>
      <c r="I347" s="259"/>
      <c r="J347" s="259"/>
      <c r="K347" s="229"/>
      <c r="L347" s="229"/>
      <c r="M347" s="229"/>
      <c r="N347" s="229"/>
      <c r="O347" s="229"/>
      <c r="P347" s="217"/>
      <c r="Q347" s="229"/>
      <c r="R347" s="218"/>
      <c r="S347" s="265"/>
      <c r="T347" s="220"/>
      <c r="U347" s="220"/>
      <c r="V347" s="221"/>
      <c r="W347" s="220"/>
      <c r="X347" s="222"/>
      <c r="Y347" s="222"/>
      <c r="Z347" s="229"/>
      <c r="AA347" s="229"/>
      <c r="AB347" s="229"/>
      <c r="AC347" s="229"/>
      <c r="AD347" s="229"/>
      <c r="AE347" s="229"/>
      <c r="AF347" s="229"/>
      <c r="AG347" s="264"/>
      <c r="AH347" s="224"/>
      <c r="AI347" s="264"/>
      <c r="AJ347" s="224"/>
      <c r="AK347" s="237"/>
      <c r="AL347" s="258"/>
      <c r="AM347" s="258"/>
      <c r="AN347" s="229"/>
      <c r="AO347" s="229"/>
      <c r="AP347" s="229"/>
      <c r="AQ347" s="259"/>
      <c r="AR347" s="259"/>
      <c r="AS347" s="229"/>
      <c r="AT347" s="229"/>
      <c r="AU347" s="229"/>
      <c r="AV347" s="229"/>
      <c r="AW347" s="264"/>
      <c r="AX347" s="264"/>
      <c r="AY347" s="264"/>
      <c r="AZ347" s="264"/>
      <c r="BA347" s="219"/>
      <c r="BB347" s="219"/>
      <c r="BC347" s="229"/>
      <c r="BD347" s="229"/>
      <c r="BE347" s="217"/>
      <c r="BF347" s="229"/>
      <c r="BG347" s="258"/>
      <c r="BH347" s="258"/>
      <c r="BI347" s="229"/>
      <c r="BJ347" s="229"/>
      <c r="BK347" s="229"/>
      <c r="BL347" s="229"/>
      <c r="BM347" s="258"/>
      <c r="BN347" s="258"/>
      <c r="BO347" s="258"/>
      <c r="BP347" s="258"/>
      <c r="BQ347" s="229"/>
      <c r="BR347" s="258"/>
      <c r="BS347" s="258"/>
      <c r="BT347" s="258"/>
      <c r="BU347" s="258"/>
      <c r="BV347" s="229"/>
      <c r="BW347" s="229"/>
      <c r="BX347" s="241"/>
      <c r="BY347" s="241"/>
      <c r="BZ347" s="241"/>
      <c r="CA347" s="217"/>
      <c r="CB347" s="217"/>
      <c r="CC347" s="229"/>
      <c r="CD347" s="217"/>
      <c r="CE347" s="217"/>
      <c r="CF347" s="217"/>
      <c r="CG347" s="217"/>
      <c r="CH347" s="217"/>
      <c r="CI347" s="229"/>
      <c r="CJ347" s="217"/>
      <c r="CK347" s="217"/>
      <c r="CL347" s="217"/>
      <c r="CM347" s="217"/>
      <c r="CN347" s="217"/>
      <c r="CO347" s="229"/>
      <c r="CP347" s="217"/>
      <c r="CQ347" s="217"/>
      <c r="CR347" s="217"/>
      <c r="CS347" s="217"/>
      <c r="CT347" s="217"/>
      <c r="CU347" s="229"/>
      <c r="CV347" s="217"/>
      <c r="CW347" s="217"/>
      <c r="CX347" s="217"/>
      <c r="CY347" s="217"/>
      <c r="CZ347" s="217"/>
      <c r="DA347" s="229"/>
      <c r="DB347" s="217"/>
      <c r="DC347" s="217"/>
      <c r="DD347" s="217"/>
      <c r="DE347" s="217"/>
      <c r="DF347" s="217"/>
      <c r="DG347" s="229"/>
      <c r="DH347" s="217"/>
      <c r="DI347" s="217"/>
      <c r="DJ347" s="217"/>
      <c r="DK347" s="217"/>
      <c r="DL347" s="217"/>
      <c r="DM347" s="229"/>
      <c r="DN347" s="217"/>
      <c r="DO347" s="217"/>
      <c r="DP347" s="217"/>
      <c r="DQ347" s="217"/>
      <c r="DR347" s="217"/>
      <c r="DS347" s="229"/>
      <c r="DT347" s="229"/>
      <c r="DU347" s="229"/>
      <c r="DV347" s="217"/>
      <c r="DW347" s="217"/>
      <c r="DX347" s="230"/>
      <c r="DY347" s="231"/>
      <c r="DZ347" s="231"/>
      <c r="EA347" s="230"/>
      <c r="EB347" s="232"/>
      <c r="EC347" s="217"/>
      <c r="ED347" s="233"/>
      <c r="EE347" s="234"/>
      <c r="EF347" s="235"/>
      <c r="EG347" s="233"/>
      <c r="EH347" s="236"/>
      <c r="EI347" s="217"/>
      <c r="EJ347" s="237"/>
      <c r="EK347" s="217"/>
      <c r="EL347" s="217"/>
      <c r="EM347" s="238"/>
      <c r="EN347" s="236"/>
      <c r="EO347" s="239"/>
      <c r="EP347" s="236"/>
      <c r="EQ347" s="217"/>
      <c r="ER347" s="217"/>
      <c r="ES347" s="236"/>
      <c r="ET347" s="236"/>
      <c r="EU347" s="236"/>
      <c r="EV347" s="239"/>
      <c r="EW347" s="236"/>
      <c r="EX347" s="217"/>
      <c r="EY347" s="240"/>
      <c r="EZ347" s="241"/>
      <c r="FA347" s="240"/>
      <c r="FB347" s="241"/>
      <c r="FC347" s="240"/>
      <c r="FD347" s="217"/>
      <c r="FE347" s="240"/>
      <c r="FF347" s="217"/>
      <c r="FG347" s="217"/>
      <c r="FH347" s="217"/>
      <c r="FI347" s="217"/>
      <c r="FJ347" s="217"/>
      <c r="FK347" s="240"/>
      <c r="FL347" s="217"/>
      <c r="FM347" s="240"/>
      <c r="FN347" s="217"/>
      <c r="FO347" s="240"/>
      <c r="FP347" s="217"/>
      <c r="FQ347" s="240"/>
      <c r="FR347" s="217"/>
      <c r="FS347" s="236"/>
      <c r="FT347" s="236"/>
      <c r="FU347" s="236"/>
      <c r="FV347" s="236"/>
      <c r="FW347" s="239"/>
      <c r="FX347" s="236"/>
      <c r="FY347" s="217"/>
      <c r="FZ347" s="240"/>
      <c r="GA347" s="217"/>
      <c r="GB347" s="242"/>
      <c r="GC347" s="217"/>
      <c r="GD347" s="240"/>
      <c r="GE347" s="240"/>
      <c r="GF347" s="240"/>
      <c r="GG347" s="240"/>
      <c r="GH347" s="240"/>
      <c r="GI347" s="217"/>
      <c r="GJ347" s="217"/>
      <c r="GK347" s="239"/>
      <c r="GL347" s="243"/>
    </row>
    <row r="348" ht="15.75" customHeight="1">
      <c r="A348" s="229"/>
      <c r="B348" s="258"/>
      <c r="C348" s="259"/>
      <c r="D348" s="260"/>
      <c r="E348" s="229"/>
      <c r="F348" s="261"/>
      <c r="G348" s="261"/>
      <c r="H348" s="262"/>
      <c r="I348" s="259"/>
      <c r="J348" s="259"/>
      <c r="K348" s="229"/>
      <c r="L348" s="229"/>
      <c r="M348" s="229"/>
      <c r="N348" s="229"/>
      <c r="O348" s="229"/>
      <c r="P348" s="217"/>
      <c r="Q348" s="229"/>
      <c r="R348" s="218"/>
      <c r="S348" s="265"/>
      <c r="T348" s="220"/>
      <c r="U348" s="220"/>
      <c r="V348" s="221"/>
      <c r="W348" s="220"/>
      <c r="X348" s="222"/>
      <c r="Y348" s="222"/>
      <c r="Z348" s="229"/>
      <c r="AA348" s="229"/>
      <c r="AB348" s="229"/>
      <c r="AC348" s="229"/>
      <c r="AD348" s="229"/>
      <c r="AE348" s="229"/>
      <c r="AF348" s="229"/>
      <c r="AG348" s="264"/>
      <c r="AH348" s="224"/>
      <c r="AI348" s="264"/>
      <c r="AJ348" s="224"/>
      <c r="AK348" s="237"/>
      <c r="AL348" s="258"/>
      <c r="AM348" s="258"/>
      <c r="AN348" s="229"/>
      <c r="AO348" s="229"/>
      <c r="AP348" s="229"/>
      <c r="AQ348" s="259"/>
      <c r="AR348" s="259"/>
      <c r="AS348" s="229"/>
      <c r="AT348" s="229"/>
      <c r="AU348" s="229"/>
      <c r="AV348" s="229"/>
      <c r="AW348" s="264"/>
      <c r="AX348" s="264"/>
      <c r="AY348" s="264"/>
      <c r="AZ348" s="264"/>
      <c r="BA348" s="219"/>
      <c r="BB348" s="219"/>
      <c r="BC348" s="229"/>
      <c r="BD348" s="229"/>
      <c r="BE348" s="217"/>
      <c r="BF348" s="229"/>
      <c r="BG348" s="258"/>
      <c r="BH348" s="258"/>
      <c r="BI348" s="229"/>
      <c r="BJ348" s="229"/>
      <c r="BK348" s="229"/>
      <c r="BL348" s="229"/>
      <c r="BM348" s="258"/>
      <c r="BN348" s="258"/>
      <c r="BO348" s="258"/>
      <c r="BP348" s="258"/>
      <c r="BQ348" s="229"/>
      <c r="BR348" s="258"/>
      <c r="BS348" s="258"/>
      <c r="BT348" s="258"/>
      <c r="BU348" s="258"/>
      <c r="BV348" s="229"/>
      <c r="BW348" s="229"/>
      <c r="BX348" s="241"/>
      <c r="BY348" s="241"/>
      <c r="BZ348" s="241"/>
      <c r="CA348" s="217"/>
      <c r="CB348" s="217"/>
      <c r="CC348" s="229"/>
      <c r="CD348" s="217"/>
      <c r="CE348" s="217"/>
      <c r="CF348" s="217"/>
      <c r="CG348" s="217"/>
      <c r="CH348" s="217"/>
      <c r="CI348" s="229"/>
      <c r="CJ348" s="217"/>
      <c r="CK348" s="217"/>
      <c r="CL348" s="217"/>
      <c r="CM348" s="217"/>
      <c r="CN348" s="217"/>
      <c r="CO348" s="229"/>
      <c r="CP348" s="217"/>
      <c r="CQ348" s="217"/>
      <c r="CR348" s="217"/>
      <c r="CS348" s="217"/>
      <c r="CT348" s="217"/>
      <c r="CU348" s="229"/>
      <c r="CV348" s="217"/>
      <c r="CW348" s="217"/>
      <c r="CX348" s="217"/>
      <c r="CY348" s="217"/>
      <c r="CZ348" s="217"/>
      <c r="DA348" s="229"/>
      <c r="DB348" s="217"/>
      <c r="DC348" s="217"/>
      <c r="DD348" s="217"/>
      <c r="DE348" s="217"/>
      <c r="DF348" s="217"/>
      <c r="DG348" s="229"/>
      <c r="DH348" s="217"/>
      <c r="DI348" s="217"/>
      <c r="DJ348" s="217"/>
      <c r="DK348" s="217"/>
      <c r="DL348" s="217"/>
      <c r="DM348" s="229"/>
      <c r="DN348" s="217"/>
      <c r="DO348" s="217"/>
      <c r="DP348" s="217"/>
      <c r="DQ348" s="217"/>
      <c r="DR348" s="217"/>
      <c r="DS348" s="229"/>
      <c r="DT348" s="229"/>
      <c r="DU348" s="229"/>
      <c r="DV348" s="217"/>
      <c r="DW348" s="217"/>
      <c r="DX348" s="230"/>
      <c r="DY348" s="231"/>
      <c r="DZ348" s="231"/>
      <c r="EA348" s="230"/>
      <c r="EB348" s="232"/>
      <c r="EC348" s="217"/>
      <c r="ED348" s="233"/>
      <c r="EE348" s="234"/>
      <c r="EF348" s="235"/>
      <c r="EG348" s="233"/>
      <c r="EH348" s="236"/>
      <c r="EI348" s="217"/>
      <c r="EJ348" s="237"/>
      <c r="EK348" s="217"/>
      <c r="EL348" s="217"/>
      <c r="EM348" s="238"/>
      <c r="EN348" s="236"/>
      <c r="EO348" s="239"/>
      <c r="EP348" s="236"/>
      <c r="EQ348" s="217"/>
      <c r="ER348" s="217"/>
      <c r="ES348" s="236"/>
      <c r="ET348" s="236"/>
      <c r="EU348" s="236"/>
      <c r="EV348" s="239"/>
      <c r="EW348" s="236"/>
      <c r="EX348" s="217"/>
      <c r="EY348" s="240"/>
      <c r="EZ348" s="241"/>
      <c r="FA348" s="240"/>
      <c r="FB348" s="241"/>
      <c r="FC348" s="240"/>
      <c r="FD348" s="217"/>
      <c r="FE348" s="240"/>
      <c r="FF348" s="217"/>
      <c r="FG348" s="217"/>
      <c r="FH348" s="217"/>
      <c r="FI348" s="217"/>
      <c r="FJ348" s="217"/>
      <c r="FK348" s="240"/>
      <c r="FL348" s="217"/>
      <c r="FM348" s="240"/>
      <c r="FN348" s="217"/>
      <c r="FO348" s="240"/>
      <c r="FP348" s="217"/>
      <c r="FQ348" s="240"/>
      <c r="FR348" s="217"/>
      <c r="FS348" s="236"/>
      <c r="FT348" s="236"/>
      <c r="FU348" s="236"/>
      <c r="FV348" s="236"/>
      <c r="FW348" s="239"/>
      <c r="FX348" s="236"/>
      <c r="FY348" s="217"/>
      <c r="FZ348" s="240"/>
      <c r="GA348" s="217"/>
      <c r="GB348" s="242"/>
      <c r="GC348" s="217"/>
      <c r="GD348" s="240"/>
      <c r="GE348" s="240"/>
      <c r="GF348" s="240"/>
      <c r="GG348" s="240"/>
      <c r="GH348" s="240"/>
      <c r="GI348" s="217"/>
      <c r="GJ348" s="217"/>
      <c r="GK348" s="239"/>
      <c r="GL348" s="243"/>
    </row>
    <row r="349" ht="15.75" customHeight="1">
      <c r="A349" s="229"/>
      <c r="B349" s="258"/>
      <c r="C349" s="259"/>
      <c r="D349" s="260"/>
      <c r="E349" s="229"/>
      <c r="F349" s="261"/>
      <c r="G349" s="261"/>
      <c r="H349" s="262"/>
      <c r="I349" s="259"/>
      <c r="J349" s="259"/>
      <c r="K349" s="229"/>
      <c r="L349" s="229"/>
      <c r="M349" s="229"/>
      <c r="N349" s="229"/>
      <c r="O349" s="229"/>
      <c r="P349" s="217"/>
      <c r="Q349" s="229"/>
      <c r="R349" s="218"/>
      <c r="S349" s="265"/>
      <c r="T349" s="220"/>
      <c r="U349" s="220"/>
      <c r="V349" s="221"/>
      <c r="W349" s="220"/>
      <c r="X349" s="222"/>
      <c r="Y349" s="222"/>
      <c r="Z349" s="229"/>
      <c r="AA349" s="229"/>
      <c r="AB349" s="229"/>
      <c r="AC349" s="229"/>
      <c r="AD349" s="229"/>
      <c r="AE349" s="229"/>
      <c r="AF349" s="229"/>
      <c r="AG349" s="264"/>
      <c r="AH349" s="224"/>
      <c r="AI349" s="264"/>
      <c r="AJ349" s="224"/>
      <c r="AK349" s="237"/>
      <c r="AL349" s="258"/>
      <c r="AM349" s="258"/>
      <c r="AN349" s="229"/>
      <c r="AO349" s="229"/>
      <c r="AP349" s="229"/>
      <c r="AQ349" s="259"/>
      <c r="AR349" s="259"/>
      <c r="AS349" s="229"/>
      <c r="AT349" s="229"/>
      <c r="AU349" s="229"/>
      <c r="AV349" s="229"/>
      <c r="AW349" s="264"/>
      <c r="AX349" s="264"/>
      <c r="AY349" s="264"/>
      <c r="AZ349" s="264"/>
      <c r="BA349" s="219"/>
      <c r="BB349" s="219"/>
      <c r="BC349" s="229"/>
      <c r="BD349" s="229"/>
      <c r="BE349" s="217"/>
      <c r="BF349" s="229"/>
      <c r="BG349" s="258"/>
      <c r="BH349" s="258"/>
      <c r="BI349" s="229"/>
      <c r="BJ349" s="229"/>
      <c r="BK349" s="229"/>
      <c r="BL349" s="229"/>
      <c r="BM349" s="258"/>
      <c r="BN349" s="258"/>
      <c r="BO349" s="258"/>
      <c r="BP349" s="258"/>
      <c r="BQ349" s="229"/>
      <c r="BR349" s="258"/>
      <c r="BS349" s="258"/>
      <c r="BT349" s="258"/>
      <c r="BU349" s="258"/>
      <c r="BV349" s="229"/>
      <c r="BW349" s="229"/>
      <c r="BX349" s="241"/>
      <c r="BY349" s="241"/>
      <c r="BZ349" s="241"/>
      <c r="CA349" s="217"/>
      <c r="CB349" s="217"/>
      <c r="CC349" s="229"/>
      <c r="CD349" s="217"/>
      <c r="CE349" s="217"/>
      <c r="CF349" s="217"/>
      <c r="CG349" s="217"/>
      <c r="CH349" s="217"/>
      <c r="CI349" s="229"/>
      <c r="CJ349" s="217"/>
      <c r="CK349" s="217"/>
      <c r="CL349" s="217"/>
      <c r="CM349" s="217"/>
      <c r="CN349" s="217"/>
      <c r="CO349" s="229"/>
      <c r="CP349" s="217"/>
      <c r="CQ349" s="217"/>
      <c r="CR349" s="217"/>
      <c r="CS349" s="217"/>
      <c r="CT349" s="217"/>
      <c r="CU349" s="229"/>
      <c r="CV349" s="217"/>
      <c r="CW349" s="217"/>
      <c r="CX349" s="217"/>
      <c r="CY349" s="217"/>
      <c r="CZ349" s="217"/>
      <c r="DA349" s="229"/>
      <c r="DB349" s="217"/>
      <c r="DC349" s="217"/>
      <c r="DD349" s="217"/>
      <c r="DE349" s="217"/>
      <c r="DF349" s="217"/>
      <c r="DG349" s="229"/>
      <c r="DH349" s="217"/>
      <c r="DI349" s="217"/>
      <c r="DJ349" s="217"/>
      <c r="DK349" s="217"/>
      <c r="DL349" s="217"/>
      <c r="DM349" s="229"/>
      <c r="DN349" s="217"/>
      <c r="DO349" s="217"/>
      <c r="DP349" s="217"/>
      <c r="DQ349" s="217"/>
      <c r="DR349" s="217"/>
      <c r="DS349" s="229"/>
      <c r="DT349" s="229"/>
      <c r="DU349" s="229"/>
      <c r="DV349" s="217"/>
      <c r="DW349" s="217"/>
      <c r="DX349" s="230"/>
      <c r="DY349" s="231"/>
      <c r="DZ349" s="231"/>
      <c r="EA349" s="230"/>
      <c r="EB349" s="232"/>
      <c r="EC349" s="217"/>
      <c r="ED349" s="233"/>
      <c r="EE349" s="234"/>
      <c r="EF349" s="235"/>
      <c r="EG349" s="233"/>
      <c r="EH349" s="236"/>
      <c r="EI349" s="217"/>
      <c r="EJ349" s="237"/>
      <c r="EK349" s="217"/>
      <c r="EL349" s="217"/>
      <c r="EM349" s="238"/>
      <c r="EN349" s="236"/>
      <c r="EO349" s="239"/>
      <c r="EP349" s="236"/>
      <c r="EQ349" s="217"/>
      <c r="ER349" s="217"/>
      <c r="ES349" s="236"/>
      <c r="ET349" s="236"/>
      <c r="EU349" s="236"/>
      <c r="EV349" s="239"/>
      <c r="EW349" s="236"/>
      <c r="EX349" s="217"/>
      <c r="EY349" s="240"/>
      <c r="EZ349" s="241"/>
      <c r="FA349" s="240"/>
      <c r="FB349" s="241"/>
      <c r="FC349" s="240"/>
      <c r="FD349" s="217"/>
      <c r="FE349" s="240"/>
      <c r="FF349" s="217"/>
      <c r="FG349" s="217"/>
      <c r="FH349" s="217"/>
      <c r="FI349" s="217"/>
      <c r="FJ349" s="217"/>
      <c r="FK349" s="240"/>
      <c r="FL349" s="217"/>
      <c r="FM349" s="240"/>
      <c r="FN349" s="217"/>
      <c r="FO349" s="240"/>
      <c r="FP349" s="217"/>
      <c r="FQ349" s="240"/>
      <c r="FR349" s="217"/>
      <c r="FS349" s="236"/>
      <c r="FT349" s="236"/>
      <c r="FU349" s="236"/>
      <c r="FV349" s="236"/>
      <c r="FW349" s="239"/>
      <c r="FX349" s="236"/>
      <c r="FY349" s="217"/>
      <c r="FZ349" s="240"/>
      <c r="GA349" s="217"/>
      <c r="GB349" s="242"/>
      <c r="GC349" s="217"/>
      <c r="GD349" s="240"/>
      <c r="GE349" s="240"/>
      <c r="GF349" s="240"/>
      <c r="GG349" s="240"/>
      <c r="GH349" s="240"/>
      <c r="GI349" s="217"/>
      <c r="GJ349" s="217"/>
      <c r="GK349" s="239"/>
      <c r="GL349" s="243"/>
    </row>
    <row r="350" ht="15.75" customHeight="1">
      <c r="A350" s="229"/>
      <c r="B350" s="258"/>
      <c r="C350" s="259"/>
      <c r="D350" s="260"/>
      <c r="E350" s="229"/>
      <c r="F350" s="261"/>
      <c r="G350" s="261"/>
      <c r="H350" s="262"/>
      <c r="I350" s="259"/>
      <c r="J350" s="259"/>
      <c r="K350" s="229"/>
      <c r="L350" s="229"/>
      <c r="M350" s="229"/>
      <c r="N350" s="229"/>
      <c r="O350" s="229"/>
      <c r="P350" s="217"/>
      <c r="Q350" s="229"/>
      <c r="R350" s="218"/>
      <c r="S350" s="265"/>
      <c r="T350" s="220"/>
      <c r="U350" s="220"/>
      <c r="V350" s="221"/>
      <c r="W350" s="220"/>
      <c r="X350" s="222"/>
      <c r="Y350" s="222"/>
      <c r="Z350" s="229"/>
      <c r="AA350" s="229"/>
      <c r="AB350" s="229"/>
      <c r="AC350" s="229"/>
      <c r="AD350" s="229"/>
      <c r="AE350" s="229"/>
      <c r="AF350" s="229"/>
      <c r="AG350" s="264"/>
      <c r="AH350" s="224"/>
      <c r="AI350" s="264"/>
      <c r="AJ350" s="224"/>
      <c r="AK350" s="237"/>
      <c r="AL350" s="258"/>
      <c r="AM350" s="258"/>
      <c r="AN350" s="229"/>
      <c r="AO350" s="229"/>
      <c r="AP350" s="229"/>
      <c r="AQ350" s="259"/>
      <c r="AR350" s="259"/>
      <c r="AS350" s="229"/>
      <c r="AT350" s="229"/>
      <c r="AU350" s="229"/>
      <c r="AV350" s="229"/>
      <c r="AW350" s="264"/>
      <c r="AX350" s="264"/>
      <c r="AY350" s="264"/>
      <c r="AZ350" s="264"/>
      <c r="BA350" s="219"/>
      <c r="BB350" s="219"/>
      <c r="BC350" s="229"/>
      <c r="BD350" s="229"/>
      <c r="BE350" s="217"/>
      <c r="BF350" s="229"/>
      <c r="BG350" s="258"/>
      <c r="BH350" s="258"/>
      <c r="BI350" s="229"/>
      <c r="BJ350" s="229"/>
      <c r="BK350" s="229"/>
      <c r="BL350" s="229"/>
      <c r="BM350" s="258"/>
      <c r="BN350" s="258"/>
      <c r="BO350" s="258"/>
      <c r="BP350" s="258"/>
      <c r="BQ350" s="229"/>
      <c r="BR350" s="258"/>
      <c r="BS350" s="258"/>
      <c r="BT350" s="258"/>
      <c r="BU350" s="258"/>
      <c r="BV350" s="229"/>
      <c r="BW350" s="229"/>
      <c r="BX350" s="241"/>
      <c r="BY350" s="241"/>
      <c r="BZ350" s="241"/>
      <c r="CA350" s="217"/>
      <c r="CB350" s="217"/>
      <c r="CC350" s="229"/>
      <c r="CD350" s="217"/>
      <c r="CE350" s="217"/>
      <c r="CF350" s="217"/>
      <c r="CG350" s="217"/>
      <c r="CH350" s="217"/>
      <c r="CI350" s="229"/>
      <c r="CJ350" s="217"/>
      <c r="CK350" s="217"/>
      <c r="CL350" s="217"/>
      <c r="CM350" s="217"/>
      <c r="CN350" s="217"/>
      <c r="CO350" s="229"/>
      <c r="CP350" s="217"/>
      <c r="CQ350" s="217"/>
      <c r="CR350" s="217"/>
      <c r="CS350" s="217"/>
      <c r="CT350" s="217"/>
      <c r="CU350" s="229"/>
      <c r="CV350" s="217"/>
      <c r="CW350" s="217"/>
      <c r="CX350" s="217"/>
      <c r="CY350" s="217"/>
      <c r="CZ350" s="217"/>
      <c r="DA350" s="229"/>
      <c r="DB350" s="217"/>
      <c r="DC350" s="217"/>
      <c r="DD350" s="217"/>
      <c r="DE350" s="217"/>
      <c r="DF350" s="217"/>
      <c r="DG350" s="229"/>
      <c r="DH350" s="217"/>
      <c r="DI350" s="217"/>
      <c r="DJ350" s="217"/>
      <c r="DK350" s="217"/>
      <c r="DL350" s="217"/>
      <c r="DM350" s="229"/>
      <c r="DN350" s="217"/>
      <c r="DO350" s="217"/>
      <c r="DP350" s="217"/>
      <c r="DQ350" s="217"/>
      <c r="DR350" s="217"/>
      <c r="DS350" s="229"/>
      <c r="DT350" s="229"/>
      <c r="DU350" s="229"/>
      <c r="DV350" s="217"/>
      <c r="DW350" s="217"/>
      <c r="DX350" s="230"/>
      <c r="DY350" s="231"/>
      <c r="DZ350" s="231"/>
      <c r="EA350" s="230"/>
      <c r="EB350" s="232"/>
      <c r="EC350" s="217"/>
      <c r="ED350" s="233"/>
      <c r="EE350" s="234"/>
      <c r="EF350" s="235"/>
      <c r="EG350" s="233"/>
      <c r="EH350" s="236"/>
      <c r="EI350" s="217"/>
      <c r="EJ350" s="237"/>
      <c r="EK350" s="217"/>
      <c r="EL350" s="217"/>
      <c r="EM350" s="238"/>
      <c r="EN350" s="236"/>
      <c r="EO350" s="239"/>
      <c r="EP350" s="236"/>
      <c r="EQ350" s="217"/>
      <c r="ER350" s="217"/>
      <c r="ES350" s="236"/>
      <c r="ET350" s="236"/>
      <c r="EU350" s="236"/>
      <c r="EV350" s="239"/>
      <c r="EW350" s="236"/>
      <c r="EX350" s="217"/>
      <c r="EY350" s="240"/>
      <c r="EZ350" s="241"/>
      <c r="FA350" s="240"/>
      <c r="FB350" s="241"/>
      <c r="FC350" s="240"/>
      <c r="FD350" s="217"/>
      <c r="FE350" s="240"/>
      <c r="FF350" s="217"/>
      <c r="FG350" s="217"/>
      <c r="FH350" s="217"/>
      <c r="FI350" s="217"/>
      <c r="FJ350" s="217"/>
      <c r="FK350" s="240"/>
      <c r="FL350" s="217"/>
      <c r="FM350" s="240"/>
      <c r="FN350" s="217"/>
      <c r="FO350" s="240"/>
      <c r="FP350" s="217"/>
      <c r="FQ350" s="240"/>
      <c r="FR350" s="217"/>
      <c r="FS350" s="236"/>
      <c r="FT350" s="236"/>
      <c r="FU350" s="236"/>
      <c r="FV350" s="236"/>
      <c r="FW350" s="239"/>
      <c r="FX350" s="236"/>
      <c r="FY350" s="217"/>
      <c r="FZ350" s="240"/>
      <c r="GA350" s="217"/>
      <c r="GB350" s="242"/>
      <c r="GC350" s="217"/>
      <c r="GD350" s="240"/>
      <c r="GE350" s="240"/>
      <c r="GF350" s="240"/>
      <c r="GG350" s="240"/>
      <c r="GH350" s="240"/>
      <c r="GI350" s="217"/>
      <c r="GJ350" s="217"/>
      <c r="GK350" s="239"/>
      <c r="GL350" s="243"/>
    </row>
    <row r="351" ht="15.75" customHeight="1">
      <c r="A351" s="229"/>
      <c r="B351" s="258"/>
      <c r="C351" s="259"/>
      <c r="D351" s="260"/>
      <c r="E351" s="229"/>
      <c r="F351" s="261"/>
      <c r="G351" s="261"/>
      <c r="H351" s="262"/>
      <c r="I351" s="259"/>
      <c r="J351" s="259"/>
      <c r="K351" s="229"/>
      <c r="L351" s="229"/>
      <c r="M351" s="229"/>
      <c r="N351" s="229"/>
      <c r="O351" s="229"/>
      <c r="P351" s="217"/>
      <c r="Q351" s="229"/>
      <c r="R351" s="218"/>
      <c r="S351" s="265"/>
      <c r="T351" s="220"/>
      <c r="U351" s="220"/>
      <c r="V351" s="221"/>
      <c r="W351" s="220"/>
      <c r="X351" s="222"/>
      <c r="Y351" s="222"/>
      <c r="Z351" s="229"/>
      <c r="AA351" s="229"/>
      <c r="AB351" s="229"/>
      <c r="AC351" s="229"/>
      <c r="AD351" s="229"/>
      <c r="AE351" s="229"/>
      <c r="AF351" s="229"/>
      <c r="AG351" s="264"/>
      <c r="AH351" s="224"/>
      <c r="AI351" s="264"/>
      <c r="AJ351" s="224"/>
      <c r="AK351" s="237"/>
      <c r="AL351" s="258"/>
      <c r="AM351" s="258"/>
      <c r="AN351" s="229"/>
      <c r="AO351" s="229"/>
      <c r="AP351" s="229"/>
      <c r="AQ351" s="259"/>
      <c r="AR351" s="259"/>
      <c r="AS351" s="229"/>
      <c r="AT351" s="229"/>
      <c r="AU351" s="229"/>
      <c r="AV351" s="229"/>
      <c r="AW351" s="264"/>
      <c r="AX351" s="264"/>
      <c r="AY351" s="264"/>
      <c r="AZ351" s="264"/>
      <c r="BA351" s="219"/>
      <c r="BB351" s="219"/>
      <c r="BC351" s="229"/>
      <c r="BD351" s="229"/>
      <c r="BE351" s="217"/>
      <c r="BF351" s="229"/>
      <c r="BG351" s="258"/>
      <c r="BH351" s="258"/>
      <c r="BI351" s="229"/>
      <c r="BJ351" s="229"/>
      <c r="BK351" s="229"/>
      <c r="BL351" s="229"/>
      <c r="BM351" s="258"/>
      <c r="BN351" s="258"/>
      <c r="BO351" s="258"/>
      <c r="BP351" s="258"/>
      <c r="BQ351" s="229"/>
      <c r="BR351" s="258"/>
      <c r="BS351" s="258"/>
      <c r="BT351" s="258"/>
      <c r="BU351" s="258"/>
      <c r="BV351" s="229"/>
      <c r="BW351" s="229"/>
      <c r="BX351" s="241"/>
      <c r="BY351" s="241"/>
      <c r="BZ351" s="241"/>
      <c r="CA351" s="217"/>
      <c r="CB351" s="217"/>
      <c r="CC351" s="229"/>
      <c r="CD351" s="217"/>
      <c r="CE351" s="217"/>
      <c r="CF351" s="217"/>
      <c r="CG351" s="217"/>
      <c r="CH351" s="217"/>
      <c r="CI351" s="229"/>
      <c r="CJ351" s="217"/>
      <c r="CK351" s="217"/>
      <c r="CL351" s="217"/>
      <c r="CM351" s="217"/>
      <c r="CN351" s="217"/>
      <c r="CO351" s="229"/>
      <c r="CP351" s="217"/>
      <c r="CQ351" s="217"/>
      <c r="CR351" s="217"/>
      <c r="CS351" s="217"/>
      <c r="CT351" s="217"/>
      <c r="CU351" s="229"/>
      <c r="CV351" s="217"/>
      <c r="CW351" s="217"/>
      <c r="CX351" s="217"/>
      <c r="CY351" s="217"/>
      <c r="CZ351" s="217"/>
      <c r="DA351" s="229"/>
      <c r="DB351" s="217"/>
      <c r="DC351" s="217"/>
      <c r="DD351" s="217"/>
      <c r="DE351" s="217"/>
      <c r="DF351" s="217"/>
      <c r="DG351" s="229"/>
      <c r="DH351" s="217"/>
      <c r="DI351" s="217"/>
      <c r="DJ351" s="217"/>
      <c r="DK351" s="217"/>
      <c r="DL351" s="217"/>
      <c r="DM351" s="229"/>
      <c r="DN351" s="217"/>
      <c r="DO351" s="217"/>
      <c r="DP351" s="217"/>
      <c r="DQ351" s="217"/>
      <c r="DR351" s="217"/>
      <c r="DS351" s="229"/>
      <c r="DT351" s="229"/>
      <c r="DU351" s="229"/>
      <c r="DV351" s="217"/>
      <c r="DW351" s="217"/>
      <c r="DX351" s="230"/>
      <c r="DY351" s="231"/>
      <c r="DZ351" s="231"/>
      <c r="EA351" s="230"/>
      <c r="EB351" s="232"/>
      <c r="EC351" s="217"/>
      <c r="ED351" s="233"/>
      <c r="EE351" s="234"/>
      <c r="EF351" s="235"/>
      <c r="EG351" s="233"/>
      <c r="EH351" s="236"/>
      <c r="EI351" s="217"/>
      <c r="EJ351" s="237"/>
      <c r="EK351" s="217"/>
      <c r="EL351" s="217"/>
      <c r="EM351" s="238"/>
      <c r="EN351" s="236"/>
      <c r="EO351" s="239"/>
      <c r="EP351" s="236"/>
      <c r="EQ351" s="217"/>
      <c r="ER351" s="217"/>
      <c r="ES351" s="236"/>
      <c r="ET351" s="236"/>
      <c r="EU351" s="236"/>
      <c r="EV351" s="239"/>
      <c r="EW351" s="236"/>
      <c r="EX351" s="217"/>
      <c r="EY351" s="240"/>
      <c r="EZ351" s="241"/>
      <c r="FA351" s="240"/>
      <c r="FB351" s="241"/>
      <c r="FC351" s="240"/>
      <c r="FD351" s="217"/>
      <c r="FE351" s="240"/>
      <c r="FF351" s="217"/>
      <c r="FG351" s="217"/>
      <c r="FH351" s="217"/>
      <c r="FI351" s="217"/>
      <c r="FJ351" s="217"/>
      <c r="FK351" s="240"/>
      <c r="FL351" s="217"/>
      <c r="FM351" s="240"/>
      <c r="FN351" s="217"/>
      <c r="FO351" s="240"/>
      <c r="FP351" s="217"/>
      <c r="FQ351" s="240"/>
      <c r="FR351" s="217"/>
      <c r="FS351" s="236"/>
      <c r="FT351" s="236"/>
      <c r="FU351" s="236"/>
      <c r="FV351" s="236"/>
      <c r="FW351" s="239"/>
      <c r="FX351" s="236"/>
      <c r="FY351" s="217"/>
      <c r="FZ351" s="240"/>
      <c r="GA351" s="217"/>
      <c r="GB351" s="242"/>
      <c r="GC351" s="217"/>
      <c r="GD351" s="240"/>
      <c r="GE351" s="240"/>
      <c r="GF351" s="240"/>
      <c r="GG351" s="240"/>
      <c r="GH351" s="240"/>
      <c r="GI351" s="217"/>
      <c r="GJ351" s="217"/>
      <c r="GK351" s="239"/>
      <c r="GL351" s="243"/>
    </row>
    <row r="352" ht="15.75" customHeight="1">
      <c r="A352" s="229"/>
      <c r="B352" s="258"/>
      <c r="C352" s="259"/>
      <c r="D352" s="260"/>
      <c r="E352" s="229"/>
      <c r="F352" s="261"/>
      <c r="G352" s="261"/>
      <c r="H352" s="262"/>
      <c r="I352" s="259"/>
      <c r="J352" s="259"/>
      <c r="K352" s="229"/>
      <c r="L352" s="229"/>
      <c r="M352" s="229"/>
      <c r="N352" s="229"/>
      <c r="O352" s="229"/>
      <c r="P352" s="217"/>
      <c r="Q352" s="229"/>
      <c r="R352" s="218"/>
      <c r="S352" s="265"/>
      <c r="T352" s="220"/>
      <c r="U352" s="220"/>
      <c r="V352" s="221"/>
      <c r="W352" s="220"/>
      <c r="X352" s="222"/>
      <c r="Y352" s="222"/>
      <c r="Z352" s="229"/>
      <c r="AA352" s="229"/>
      <c r="AB352" s="229"/>
      <c r="AC352" s="229"/>
      <c r="AD352" s="229"/>
      <c r="AE352" s="229"/>
      <c r="AF352" s="229"/>
      <c r="AG352" s="264"/>
      <c r="AH352" s="224"/>
      <c r="AI352" s="264"/>
      <c r="AJ352" s="224"/>
      <c r="AK352" s="237"/>
      <c r="AL352" s="258"/>
      <c r="AM352" s="258"/>
      <c r="AN352" s="229"/>
      <c r="AO352" s="229"/>
      <c r="AP352" s="229"/>
      <c r="AQ352" s="259"/>
      <c r="AR352" s="259"/>
      <c r="AS352" s="229"/>
      <c r="AT352" s="229"/>
      <c r="AU352" s="229"/>
      <c r="AV352" s="229"/>
      <c r="AW352" s="264"/>
      <c r="AX352" s="264"/>
      <c r="AY352" s="264"/>
      <c r="AZ352" s="264"/>
      <c r="BA352" s="219"/>
      <c r="BB352" s="219"/>
      <c r="BC352" s="229"/>
      <c r="BD352" s="229"/>
      <c r="BE352" s="217"/>
      <c r="BF352" s="229"/>
      <c r="BG352" s="258"/>
      <c r="BH352" s="258"/>
      <c r="BI352" s="229"/>
      <c r="BJ352" s="229"/>
      <c r="BK352" s="229"/>
      <c r="BL352" s="229"/>
      <c r="BM352" s="258"/>
      <c r="BN352" s="258"/>
      <c r="BO352" s="258"/>
      <c r="BP352" s="258"/>
      <c r="BQ352" s="229"/>
      <c r="BR352" s="258"/>
      <c r="BS352" s="258"/>
      <c r="BT352" s="258"/>
      <c r="BU352" s="258"/>
      <c r="BV352" s="229"/>
      <c r="BW352" s="229"/>
      <c r="BX352" s="241"/>
      <c r="BY352" s="241"/>
      <c r="BZ352" s="241"/>
      <c r="CA352" s="217"/>
      <c r="CB352" s="217"/>
      <c r="CC352" s="229"/>
      <c r="CD352" s="217"/>
      <c r="CE352" s="217"/>
      <c r="CF352" s="217"/>
      <c r="CG352" s="217"/>
      <c r="CH352" s="217"/>
      <c r="CI352" s="229"/>
      <c r="CJ352" s="217"/>
      <c r="CK352" s="217"/>
      <c r="CL352" s="217"/>
      <c r="CM352" s="217"/>
      <c r="CN352" s="217"/>
      <c r="CO352" s="229"/>
      <c r="CP352" s="217"/>
      <c r="CQ352" s="217"/>
      <c r="CR352" s="217"/>
      <c r="CS352" s="217"/>
      <c r="CT352" s="217"/>
      <c r="CU352" s="229"/>
      <c r="CV352" s="217"/>
      <c r="CW352" s="217"/>
      <c r="CX352" s="217"/>
      <c r="CY352" s="217"/>
      <c r="CZ352" s="217"/>
      <c r="DA352" s="229"/>
      <c r="DB352" s="217"/>
      <c r="DC352" s="217"/>
      <c r="DD352" s="217"/>
      <c r="DE352" s="217"/>
      <c r="DF352" s="217"/>
      <c r="DG352" s="229"/>
      <c r="DH352" s="217"/>
      <c r="DI352" s="217"/>
      <c r="DJ352" s="217"/>
      <c r="DK352" s="217"/>
      <c r="DL352" s="217"/>
      <c r="DM352" s="229"/>
      <c r="DN352" s="217"/>
      <c r="DO352" s="217"/>
      <c r="DP352" s="217"/>
      <c r="DQ352" s="217"/>
      <c r="DR352" s="217"/>
      <c r="DS352" s="229"/>
      <c r="DT352" s="229"/>
      <c r="DU352" s="229"/>
      <c r="DV352" s="217"/>
      <c r="DW352" s="217"/>
      <c r="DX352" s="230"/>
      <c r="DY352" s="231"/>
      <c r="DZ352" s="231"/>
      <c r="EA352" s="230"/>
      <c r="EB352" s="232"/>
      <c r="EC352" s="217"/>
      <c r="ED352" s="233"/>
      <c r="EE352" s="234"/>
      <c r="EF352" s="235"/>
      <c r="EG352" s="233"/>
      <c r="EH352" s="236"/>
      <c r="EI352" s="217"/>
      <c r="EJ352" s="237"/>
      <c r="EK352" s="217"/>
      <c r="EL352" s="217"/>
      <c r="EM352" s="238"/>
      <c r="EN352" s="236"/>
      <c r="EO352" s="239"/>
      <c r="EP352" s="236"/>
      <c r="EQ352" s="217"/>
      <c r="ER352" s="217"/>
      <c r="ES352" s="236"/>
      <c r="ET352" s="236"/>
      <c r="EU352" s="236"/>
      <c r="EV352" s="239"/>
      <c r="EW352" s="236"/>
      <c r="EX352" s="217"/>
      <c r="EY352" s="240"/>
      <c r="EZ352" s="241"/>
      <c r="FA352" s="240"/>
      <c r="FB352" s="241"/>
      <c r="FC352" s="240"/>
      <c r="FD352" s="217"/>
      <c r="FE352" s="240"/>
      <c r="FF352" s="217"/>
      <c r="FG352" s="217"/>
      <c r="FH352" s="217"/>
      <c r="FI352" s="217"/>
      <c r="FJ352" s="217"/>
      <c r="FK352" s="240"/>
      <c r="FL352" s="217"/>
      <c r="FM352" s="240"/>
      <c r="FN352" s="217"/>
      <c r="FO352" s="240"/>
      <c r="FP352" s="217"/>
      <c r="FQ352" s="240"/>
      <c r="FR352" s="217"/>
      <c r="FS352" s="236"/>
      <c r="FT352" s="236"/>
      <c r="FU352" s="236"/>
      <c r="FV352" s="236"/>
      <c r="FW352" s="239"/>
      <c r="FX352" s="236"/>
      <c r="FY352" s="217"/>
      <c r="FZ352" s="240"/>
      <c r="GA352" s="217"/>
      <c r="GB352" s="242"/>
      <c r="GC352" s="217"/>
      <c r="GD352" s="240"/>
      <c r="GE352" s="240"/>
      <c r="GF352" s="240"/>
      <c r="GG352" s="240"/>
      <c r="GH352" s="240"/>
      <c r="GI352" s="217"/>
      <c r="GJ352" s="217"/>
      <c r="GK352" s="239"/>
      <c r="GL352" s="243"/>
    </row>
    <row r="353" ht="15.75" customHeight="1">
      <c r="A353" s="229"/>
      <c r="B353" s="258"/>
      <c r="C353" s="259"/>
      <c r="D353" s="260"/>
      <c r="E353" s="229"/>
      <c r="F353" s="261"/>
      <c r="G353" s="261"/>
      <c r="H353" s="262"/>
      <c r="I353" s="259"/>
      <c r="J353" s="259"/>
      <c r="K353" s="229"/>
      <c r="L353" s="229"/>
      <c r="M353" s="229"/>
      <c r="N353" s="229"/>
      <c r="O353" s="229"/>
      <c r="P353" s="217"/>
      <c r="Q353" s="229"/>
      <c r="R353" s="218"/>
      <c r="S353" s="265"/>
      <c r="T353" s="220"/>
      <c r="U353" s="220"/>
      <c r="V353" s="221"/>
      <c r="W353" s="220"/>
      <c r="X353" s="222"/>
      <c r="Y353" s="222"/>
      <c r="Z353" s="229"/>
      <c r="AA353" s="229"/>
      <c r="AB353" s="229"/>
      <c r="AC353" s="229"/>
      <c r="AD353" s="229"/>
      <c r="AE353" s="229"/>
      <c r="AF353" s="229"/>
      <c r="AG353" s="264"/>
      <c r="AH353" s="224"/>
      <c r="AI353" s="264"/>
      <c r="AJ353" s="224"/>
      <c r="AK353" s="237"/>
      <c r="AL353" s="258"/>
      <c r="AM353" s="258"/>
      <c r="AN353" s="229"/>
      <c r="AO353" s="229"/>
      <c r="AP353" s="229"/>
      <c r="AQ353" s="259"/>
      <c r="AR353" s="259"/>
      <c r="AS353" s="229"/>
      <c r="AT353" s="229"/>
      <c r="AU353" s="229"/>
      <c r="AV353" s="229"/>
      <c r="AW353" s="264"/>
      <c r="AX353" s="264"/>
      <c r="AY353" s="264"/>
      <c r="AZ353" s="264"/>
      <c r="BA353" s="219"/>
      <c r="BB353" s="219"/>
      <c r="BC353" s="229"/>
      <c r="BD353" s="229"/>
      <c r="BE353" s="217"/>
      <c r="BF353" s="229"/>
      <c r="BG353" s="258"/>
      <c r="BH353" s="258"/>
      <c r="BI353" s="229"/>
      <c r="BJ353" s="229"/>
      <c r="BK353" s="229"/>
      <c r="BL353" s="229"/>
      <c r="BM353" s="258"/>
      <c r="BN353" s="258"/>
      <c r="BO353" s="258"/>
      <c r="BP353" s="258"/>
      <c r="BQ353" s="229"/>
      <c r="BR353" s="258"/>
      <c r="BS353" s="258"/>
      <c r="BT353" s="258"/>
      <c r="BU353" s="258"/>
      <c r="BV353" s="229"/>
      <c r="BW353" s="229"/>
      <c r="BX353" s="241"/>
      <c r="BY353" s="241"/>
      <c r="BZ353" s="241"/>
      <c r="CA353" s="217"/>
      <c r="CB353" s="217"/>
      <c r="CC353" s="229"/>
      <c r="CD353" s="217"/>
      <c r="CE353" s="217"/>
      <c r="CF353" s="217"/>
      <c r="CG353" s="217"/>
      <c r="CH353" s="217"/>
      <c r="CI353" s="229"/>
      <c r="CJ353" s="217"/>
      <c r="CK353" s="217"/>
      <c r="CL353" s="217"/>
      <c r="CM353" s="217"/>
      <c r="CN353" s="217"/>
      <c r="CO353" s="229"/>
      <c r="CP353" s="217"/>
      <c r="CQ353" s="217"/>
      <c r="CR353" s="217"/>
      <c r="CS353" s="217"/>
      <c r="CT353" s="217"/>
      <c r="CU353" s="229"/>
      <c r="CV353" s="217"/>
      <c r="CW353" s="217"/>
      <c r="CX353" s="217"/>
      <c r="CY353" s="217"/>
      <c r="CZ353" s="217"/>
      <c r="DA353" s="229"/>
      <c r="DB353" s="217"/>
      <c r="DC353" s="217"/>
      <c r="DD353" s="217"/>
      <c r="DE353" s="217"/>
      <c r="DF353" s="217"/>
      <c r="DG353" s="229"/>
      <c r="DH353" s="217"/>
      <c r="DI353" s="217"/>
      <c r="DJ353" s="217"/>
      <c r="DK353" s="217"/>
      <c r="DL353" s="217"/>
      <c r="DM353" s="229"/>
      <c r="DN353" s="217"/>
      <c r="DO353" s="217"/>
      <c r="DP353" s="217"/>
      <c r="DQ353" s="217"/>
      <c r="DR353" s="217"/>
      <c r="DS353" s="229"/>
      <c r="DT353" s="229"/>
      <c r="DU353" s="229"/>
      <c r="DV353" s="217"/>
      <c r="DW353" s="217"/>
      <c r="DX353" s="230"/>
      <c r="DY353" s="231"/>
      <c r="DZ353" s="231"/>
      <c r="EA353" s="230"/>
      <c r="EB353" s="232"/>
      <c r="EC353" s="217"/>
      <c r="ED353" s="233"/>
      <c r="EE353" s="234"/>
      <c r="EF353" s="235"/>
      <c r="EG353" s="233"/>
      <c r="EH353" s="236"/>
      <c r="EI353" s="217"/>
      <c r="EJ353" s="237"/>
      <c r="EK353" s="217"/>
      <c r="EL353" s="217"/>
      <c r="EM353" s="238"/>
      <c r="EN353" s="236"/>
      <c r="EO353" s="239"/>
      <c r="EP353" s="236"/>
      <c r="EQ353" s="217"/>
      <c r="ER353" s="217"/>
      <c r="ES353" s="236"/>
      <c r="ET353" s="236"/>
      <c r="EU353" s="236"/>
      <c r="EV353" s="239"/>
      <c r="EW353" s="236"/>
      <c r="EX353" s="217"/>
      <c r="EY353" s="240"/>
      <c r="EZ353" s="241"/>
      <c r="FA353" s="240"/>
      <c r="FB353" s="241"/>
      <c r="FC353" s="240"/>
      <c r="FD353" s="217"/>
      <c r="FE353" s="240"/>
      <c r="FF353" s="217"/>
      <c r="FG353" s="217"/>
      <c r="FH353" s="217"/>
      <c r="FI353" s="217"/>
      <c r="FJ353" s="217"/>
      <c r="FK353" s="240"/>
      <c r="FL353" s="217"/>
      <c r="FM353" s="240"/>
      <c r="FN353" s="217"/>
      <c r="FO353" s="240"/>
      <c r="FP353" s="217"/>
      <c r="FQ353" s="240"/>
      <c r="FR353" s="217"/>
      <c r="FS353" s="236"/>
      <c r="FT353" s="236"/>
      <c r="FU353" s="236"/>
      <c r="FV353" s="236"/>
      <c r="FW353" s="239"/>
      <c r="FX353" s="236"/>
      <c r="FY353" s="217"/>
      <c r="FZ353" s="240"/>
      <c r="GA353" s="217"/>
      <c r="GB353" s="242"/>
      <c r="GC353" s="217"/>
      <c r="GD353" s="240"/>
      <c r="GE353" s="240"/>
      <c r="GF353" s="240"/>
      <c r="GG353" s="240"/>
      <c r="GH353" s="240"/>
      <c r="GI353" s="217"/>
      <c r="GJ353" s="217"/>
      <c r="GK353" s="239"/>
      <c r="GL353" s="243"/>
    </row>
    <row r="354" ht="15.75" customHeight="1">
      <c r="A354" s="229"/>
      <c r="B354" s="258"/>
      <c r="C354" s="259"/>
      <c r="D354" s="260"/>
      <c r="E354" s="229"/>
      <c r="F354" s="261"/>
      <c r="G354" s="261"/>
      <c r="H354" s="262"/>
      <c r="I354" s="259"/>
      <c r="J354" s="259"/>
      <c r="K354" s="229"/>
      <c r="L354" s="229"/>
      <c r="M354" s="229"/>
      <c r="N354" s="229"/>
      <c r="O354" s="229"/>
      <c r="P354" s="217"/>
      <c r="Q354" s="229"/>
      <c r="R354" s="218"/>
      <c r="S354" s="265"/>
      <c r="T354" s="220"/>
      <c r="U354" s="220"/>
      <c r="V354" s="221"/>
      <c r="W354" s="220"/>
      <c r="X354" s="222"/>
      <c r="Y354" s="222"/>
      <c r="Z354" s="229"/>
      <c r="AA354" s="229"/>
      <c r="AB354" s="229"/>
      <c r="AC354" s="229"/>
      <c r="AD354" s="229"/>
      <c r="AE354" s="229"/>
      <c r="AF354" s="229"/>
      <c r="AG354" s="264"/>
      <c r="AH354" s="224"/>
      <c r="AI354" s="264"/>
      <c r="AJ354" s="224"/>
      <c r="AK354" s="237"/>
      <c r="AL354" s="258"/>
      <c r="AM354" s="258"/>
      <c r="AN354" s="229"/>
      <c r="AO354" s="229"/>
      <c r="AP354" s="229"/>
      <c r="AQ354" s="259"/>
      <c r="AR354" s="259"/>
      <c r="AS354" s="229"/>
      <c r="AT354" s="229"/>
      <c r="AU354" s="229"/>
      <c r="AV354" s="229"/>
      <c r="AW354" s="264"/>
      <c r="AX354" s="264"/>
      <c r="AY354" s="264"/>
      <c r="AZ354" s="264"/>
      <c r="BA354" s="219"/>
      <c r="BB354" s="219"/>
      <c r="BC354" s="229"/>
      <c r="BD354" s="229"/>
      <c r="BE354" s="217"/>
      <c r="BF354" s="229"/>
      <c r="BG354" s="258"/>
      <c r="BH354" s="258"/>
      <c r="BI354" s="229"/>
      <c r="BJ354" s="229"/>
      <c r="BK354" s="229"/>
      <c r="BL354" s="229"/>
      <c r="BM354" s="258"/>
      <c r="BN354" s="258"/>
      <c r="BO354" s="258"/>
      <c r="BP354" s="258"/>
      <c r="BQ354" s="229"/>
      <c r="BR354" s="258"/>
      <c r="BS354" s="258"/>
      <c r="BT354" s="258"/>
      <c r="BU354" s="258"/>
      <c r="BV354" s="229"/>
      <c r="BW354" s="229"/>
      <c r="BX354" s="241"/>
      <c r="BY354" s="241"/>
      <c r="BZ354" s="241"/>
      <c r="CA354" s="217"/>
      <c r="CB354" s="217"/>
      <c r="CC354" s="229"/>
      <c r="CD354" s="217"/>
      <c r="CE354" s="217"/>
      <c r="CF354" s="217"/>
      <c r="CG354" s="217"/>
      <c r="CH354" s="217"/>
      <c r="CI354" s="229"/>
      <c r="CJ354" s="217"/>
      <c r="CK354" s="217"/>
      <c r="CL354" s="217"/>
      <c r="CM354" s="217"/>
      <c r="CN354" s="217"/>
      <c r="CO354" s="229"/>
      <c r="CP354" s="217"/>
      <c r="CQ354" s="217"/>
      <c r="CR354" s="217"/>
      <c r="CS354" s="217"/>
      <c r="CT354" s="217"/>
      <c r="CU354" s="229"/>
      <c r="CV354" s="217"/>
      <c r="CW354" s="217"/>
      <c r="CX354" s="217"/>
      <c r="CY354" s="217"/>
      <c r="CZ354" s="217"/>
      <c r="DA354" s="229"/>
      <c r="DB354" s="217"/>
      <c r="DC354" s="217"/>
      <c r="DD354" s="217"/>
      <c r="DE354" s="217"/>
      <c r="DF354" s="217"/>
      <c r="DG354" s="229"/>
      <c r="DH354" s="217"/>
      <c r="DI354" s="217"/>
      <c r="DJ354" s="217"/>
      <c r="DK354" s="217"/>
      <c r="DL354" s="217"/>
      <c r="DM354" s="229"/>
      <c r="DN354" s="217"/>
      <c r="DO354" s="217"/>
      <c r="DP354" s="217"/>
      <c r="DQ354" s="217"/>
      <c r="DR354" s="217"/>
      <c r="DS354" s="229"/>
      <c r="DT354" s="229"/>
      <c r="DU354" s="229"/>
      <c r="DV354" s="217"/>
      <c r="DW354" s="217"/>
      <c r="DX354" s="230"/>
      <c r="DY354" s="231"/>
      <c r="DZ354" s="231"/>
      <c r="EA354" s="230"/>
      <c r="EB354" s="232"/>
      <c r="EC354" s="217"/>
      <c r="ED354" s="233"/>
      <c r="EE354" s="234"/>
      <c r="EF354" s="235"/>
      <c r="EG354" s="233"/>
      <c r="EH354" s="236"/>
      <c r="EI354" s="217"/>
      <c r="EJ354" s="237"/>
      <c r="EK354" s="217"/>
      <c r="EL354" s="217"/>
      <c r="EM354" s="238"/>
      <c r="EN354" s="236"/>
      <c r="EO354" s="239"/>
      <c r="EP354" s="236"/>
      <c r="EQ354" s="217"/>
      <c r="ER354" s="217"/>
      <c r="ES354" s="236"/>
      <c r="ET354" s="236"/>
      <c r="EU354" s="236"/>
      <c r="EV354" s="239"/>
      <c r="EW354" s="236"/>
      <c r="EX354" s="217"/>
      <c r="EY354" s="240"/>
      <c r="EZ354" s="241"/>
      <c r="FA354" s="240"/>
      <c r="FB354" s="241"/>
      <c r="FC354" s="240"/>
      <c r="FD354" s="217"/>
      <c r="FE354" s="240"/>
      <c r="FF354" s="217"/>
      <c r="FG354" s="217"/>
      <c r="FH354" s="217"/>
      <c r="FI354" s="217"/>
      <c r="FJ354" s="217"/>
      <c r="FK354" s="240"/>
      <c r="FL354" s="217"/>
      <c r="FM354" s="240"/>
      <c r="FN354" s="217"/>
      <c r="FO354" s="240"/>
      <c r="FP354" s="217"/>
      <c r="FQ354" s="240"/>
      <c r="FR354" s="217"/>
      <c r="FS354" s="236"/>
      <c r="FT354" s="236"/>
      <c r="FU354" s="236"/>
      <c r="FV354" s="236"/>
      <c r="FW354" s="239"/>
      <c r="FX354" s="236"/>
      <c r="FY354" s="217"/>
      <c r="FZ354" s="240"/>
      <c r="GA354" s="217"/>
      <c r="GB354" s="242"/>
      <c r="GC354" s="217"/>
      <c r="GD354" s="240"/>
      <c r="GE354" s="240"/>
      <c r="GF354" s="240"/>
      <c r="GG354" s="240"/>
      <c r="GH354" s="240"/>
      <c r="GI354" s="217"/>
      <c r="GJ354" s="217"/>
      <c r="GK354" s="239"/>
      <c r="GL354" s="243"/>
    </row>
    <row r="355" ht="15.75" customHeight="1">
      <c r="A355" s="229"/>
      <c r="B355" s="258"/>
      <c r="C355" s="259"/>
      <c r="D355" s="260"/>
      <c r="E355" s="229"/>
      <c r="F355" s="261"/>
      <c r="G355" s="261"/>
      <c r="H355" s="262"/>
      <c r="I355" s="259"/>
      <c r="J355" s="259"/>
      <c r="K355" s="229"/>
      <c r="L355" s="229"/>
      <c r="M355" s="229"/>
      <c r="N355" s="229"/>
      <c r="O355" s="229"/>
      <c r="P355" s="217"/>
      <c r="Q355" s="229"/>
      <c r="R355" s="218"/>
      <c r="S355" s="265"/>
      <c r="T355" s="220"/>
      <c r="U355" s="220"/>
      <c r="V355" s="221"/>
      <c r="W355" s="220"/>
      <c r="X355" s="222"/>
      <c r="Y355" s="222"/>
      <c r="Z355" s="229"/>
      <c r="AA355" s="229"/>
      <c r="AB355" s="229"/>
      <c r="AC355" s="229"/>
      <c r="AD355" s="229"/>
      <c r="AE355" s="229"/>
      <c r="AF355" s="229"/>
      <c r="AG355" s="264"/>
      <c r="AH355" s="224"/>
      <c r="AI355" s="264"/>
      <c r="AJ355" s="224"/>
      <c r="AK355" s="237"/>
      <c r="AL355" s="258"/>
      <c r="AM355" s="258"/>
      <c r="AN355" s="229"/>
      <c r="AO355" s="229"/>
      <c r="AP355" s="229"/>
      <c r="AQ355" s="259"/>
      <c r="AR355" s="259"/>
      <c r="AS355" s="229"/>
      <c r="AT355" s="229"/>
      <c r="AU355" s="229"/>
      <c r="AV355" s="229"/>
      <c r="AW355" s="264"/>
      <c r="AX355" s="264"/>
      <c r="AY355" s="264"/>
      <c r="AZ355" s="264"/>
      <c r="BA355" s="219"/>
      <c r="BB355" s="219"/>
      <c r="BC355" s="229"/>
      <c r="BD355" s="229"/>
      <c r="BE355" s="217"/>
      <c r="BF355" s="229"/>
      <c r="BG355" s="258"/>
      <c r="BH355" s="258"/>
      <c r="BI355" s="229"/>
      <c r="BJ355" s="229"/>
      <c r="BK355" s="229"/>
      <c r="BL355" s="229"/>
      <c r="BM355" s="258"/>
      <c r="BN355" s="258"/>
      <c r="BO355" s="258"/>
      <c r="BP355" s="258"/>
      <c r="BQ355" s="229"/>
      <c r="BR355" s="258"/>
      <c r="BS355" s="258"/>
      <c r="BT355" s="258"/>
      <c r="BU355" s="258"/>
      <c r="BV355" s="229"/>
      <c r="BW355" s="229"/>
      <c r="BX355" s="241"/>
      <c r="BY355" s="241"/>
      <c r="BZ355" s="241"/>
      <c r="CA355" s="217"/>
      <c r="CB355" s="217"/>
      <c r="CC355" s="229"/>
      <c r="CD355" s="217"/>
      <c r="CE355" s="217"/>
      <c r="CF355" s="217"/>
      <c r="CG355" s="217"/>
      <c r="CH355" s="217"/>
      <c r="CI355" s="229"/>
      <c r="CJ355" s="217"/>
      <c r="CK355" s="217"/>
      <c r="CL355" s="217"/>
      <c r="CM355" s="217"/>
      <c r="CN355" s="217"/>
      <c r="CO355" s="229"/>
      <c r="CP355" s="217"/>
      <c r="CQ355" s="217"/>
      <c r="CR355" s="217"/>
      <c r="CS355" s="217"/>
      <c r="CT355" s="217"/>
      <c r="CU355" s="229"/>
      <c r="CV355" s="217"/>
      <c r="CW355" s="217"/>
      <c r="CX355" s="217"/>
      <c r="CY355" s="217"/>
      <c r="CZ355" s="217"/>
      <c r="DA355" s="229"/>
      <c r="DB355" s="217"/>
      <c r="DC355" s="217"/>
      <c r="DD355" s="217"/>
      <c r="DE355" s="217"/>
      <c r="DF355" s="217"/>
      <c r="DG355" s="229"/>
      <c r="DH355" s="217"/>
      <c r="DI355" s="217"/>
      <c r="DJ355" s="217"/>
      <c r="DK355" s="217"/>
      <c r="DL355" s="217"/>
      <c r="DM355" s="229"/>
      <c r="DN355" s="217"/>
      <c r="DO355" s="217"/>
      <c r="DP355" s="217"/>
      <c r="DQ355" s="217"/>
      <c r="DR355" s="217"/>
      <c r="DS355" s="229"/>
      <c r="DT355" s="229"/>
      <c r="DU355" s="229"/>
      <c r="DV355" s="217"/>
      <c r="DW355" s="217"/>
      <c r="DX355" s="230"/>
      <c r="DY355" s="231"/>
      <c r="DZ355" s="231"/>
      <c r="EA355" s="230"/>
      <c r="EB355" s="232"/>
      <c r="EC355" s="217"/>
      <c r="ED355" s="233"/>
      <c r="EE355" s="234"/>
      <c r="EF355" s="235"/>
      <c r="EG355" s="233"/>
      <c r="EH355" s="236"/>
      <c r="EI355" s="217"/>
      <c r="EJ355" s="237"/>
      <c r="EK355" s="217"/>
      <c r="EL355" s="217"/>
      <c r="EM355" s="238"/>
      <c r="EN355" s="236"/>
      <c r="EO355" s="239"/>
      <c r="EP355" s="236"/>
      <c r="EQ355" s="217"/>
      <c r="ER355" s="217"/>
      <c r="ES355" s="236"/>
      <c r="ET355" s="236"/>
      <c r="EU355" s="236"/>
      <c r="EV355" s="239"/>
      <c r="EW355" s="236"/>
      <c r="EX355" s="217"/>
      <c r="EY355" s="240"/>
      <c r="EZ355" s="241"/>
      <c r="FA355" s="240"/>
      <c r="FB355" s="241"/>
      <c r="FC355" s="240"/>
      <c r="FD355" s="217"/>
      <c r="FE355" s="240"/>
      <c r="FF355" s="217"/>
      <c r="FG355" s="217"/>
      <c r="FH355" s="217"/>
      <c r="FI355" s="217"/>
      <c r="FJ355" s="217"/>
      <c r="FK355" s="240"/>
      <c r="FL355" s="217"/>
      <c r="FM355" s="240"/>
      <c r="FN355" s="217"/>
      <c r="FO355" s="240"/>
      <c r="FP355" s="217"/>
      <c r="FQ355" s="240"/>
      <c r="FR355" s="217"/>
      <c r="FS355" s="236"/>
      <c r="FT355" s="236"/>
      <c r="FU355" s="236"/>
      <c r="FV355" s="236"/>
      <c r="FW355" s="239"/>
      <c r="FX355" s="236"/>
      <c r="FY355" s="217"/>
      <c r="FZ355" s="240"/>
      <c r="GA355" s="217"/>
      <c r="GB355" s="242"/>
      <c r="GC355" s="217"/>
      <c r="GD355" s="240"/>
      <c r="GE355" s="240"/>
      <c r="GF355" s="240"/>
      <c r="GG355" s="240"/>
      <c r="GH355" s="240"/>
      <c r="GI355" s="217"/>
      <c r="GJ355" s="217"/>
      <c r="GK355" s="239"/>
      <c r="GL355" s="243"/>
    </row>
    <row r="356" ht="15.75" customHeight="1">
      <c r="A356" s="229"/>
      <c r="B356" s="258"/>
      <c r="C356" s="259"/>
      <c r="D356" s="260"/>
      <c r="E356" s="229"/>
      <c r="F356" s="261"/>
      <c r="G356" s="261"/>
      <c r="H356" s="262"/>
      <c r="I356" s="259"/>
      <c r="J356" s="259"/>
      <c r="K356" s="229"/>
      <c r="L356" s="229"/>
      <c r="M356" s="229"/>
      <c r="N356" s="229"/>
      <c r="O356" s="229"/>
      <c r="P356" s="217"/>
      <c r="Q356" s="229"/>
      <c r="R356" s="218"/>
      <c r="S356" s="265"/>
      <c r="T356" s="220"/>
      <c r="U356" s="220"/>
      <c r="V356" s="221"/>
      <c r="W356" s="220"/>
      <c r="X356" s="222"/>
      <c r="Y356" s="222"/>
      <c r="Z356" s="229"/>
      <c r="AA356" s="229"/>
      <c r="AB356" s="229"/>
      <c r="AC356" s="229"/>
      <c r="AD356" s="229"/>
      <c r="AE356" s="229"/>
      <c r="AF356" s="229"/>
      <c r="AG356" s="264"/>
      <c r="AH356" s="224"/>
      <c r="AI356" s="264"/>
      <c r="AJ356" s="224"/>
      <c r="AK356" s="237"/>
      <c r="AL356" s="258"/>
      <c r="AM356" s="258"/>
      <c r="AN356" s="229"/>
      <c r="AO356" s="229"/>
      <c r="AP356" s="229"/>
      <c r="AQ356" s="259"/>
      <c r="AR356" s="259"/>
      <c r="AS356" s="229"/>
      <c r="AT356" s="229"/>
      <c r="AU356" s="229"/>
      <c r="AV356" s="229"/>
      <c r="AW356" s="264"/>
      <c r="AX356" s="264"/>
      <c r="AY356" s="264"/>
      <c r="AZ356" s="264"/>
      <c r="BA356" s="219"/>
      <c r="BB356" s="219"/>
      <c r="BC356" s="229"/>
      <c r="BD356" s="229"/>
      <c r="BE356" s="217"/>
      <c r="BF356" s="229"/>
      <c r="BG356" s="258"/>
      <c r="BH356" s="258"/>
      <c r="BI356" s="229"/>
      <c r="BJ356" s="229"/>
      <c r="BK356" s="229"/>
      <c r="BL356" s="229"/>
      <c r="BM356" s="258"/>
      <c r="BN356" s="258"/>
      <c r="BO356" s="258"/>
      <c r="BP356" s="258"/>
      <c r="BQ356" s="229"/>
      <c r="BR356" s="258"/>
      <c r="BS356" s="258"/>
      <c r="BT356" s="258"/>
      <c r="BU356" s="258"/>
      <c r="BV356" s="229"/>
      <c r="BW356" s="229"/>
      <c r="BX356" s="241"/>
      <c r="BY356" s="241"/>
      <c r="BZ356" s="241"/>
      <c r="CA356" s="217"/>
      <c r="CB356" s="217"/>
      <c r="CC356" s="229"/>
      <c r="CD356" s="217"/>
      <c r="CE356" s="217"/>
      <c r="CF356" s="217"/>
      <c r="CG356" s="217"/>
      <c r="CH356" s="217"/>
      <c r="CI356" s="229"/>
      <c r="CJ356" s="217"/>
      <c r="CK356" s="217"/>
      <c r="CL356" s="217"/>
      <c r="CM356" s="217"/>
      <c r="CN356" s="217"/>
      <c r="CO356" s="229"/>
      <c r="CP356" s="217"/>
      <c r="CQ356" s="217"/>
      <c r="CR356" s="217"/>
      <c r="CS356" s="217"/>
      <c r="CT356" s="217"/>
      <c r="CU356" s="229"/>
      <c r="CV356" s="217"/>
      <c r="CW356" s="217"/>
      <c r="CX356" s="217"/>
      <c r="CY356" s="217"/>
      <c r="CZ356" s="217"/>
      <c r="DA356" s="229"/>
      <c r="DB356" s="217"/>
      <c r="DC356" s="217"/>
      <c r="DD356" s="217"/>
      <c r="DE356" s="217"/>
      <c r="DF356" s="217"/>
      <c r="DG356" s="229"/>
      <c r="DH356" s="217"/>
      <c r="DI356" s="217"/>
      <c r="DJ356" s="217"/>
      <c r="DK356" s="217"/>
      <c r="DL356" s="217"/>
      <c r="DM356" s="229"/>
      <c r="DN356" s="217"/>
      <c r="DO356" s="217"/>
      <c r="DP356" s="217"/>
      <c r="DQ356" s="217"/>
      <c r="DR356" s="217"/>
      <c r="DS356" s="229"/>
      <c r="DT356" s="229"/>
      <c r="DU356" s="229"/>
      <c r="DV356" s="217"/>
      <c r="DW356" s="217"/>
      <c r="DX356" s="230"/>
      <c r="DY356" s="231"/>
      <c r="DZ356" s="231"/>
      <c r="EA356" s="230"/>
      <c r="EB356" s="232"/>
      <c r="EC356" s="217"/>
      <c r="ED356" s="233"/>
      <c r="EE356" s="234"/>
      <c r="EF356" s="235"/>
      <c r="EG356" s="233"/>
      <c r="EH356" s="236"/>
      <c r="EI356" s="217"/>
      <c r="EJ356" s="237"/>
      <c r="EK356" s="217"/>
      <c r="EL356" s="217"/>
      <c r="EM356" s="238"/>
      <c r="EN356" s="236"/>
      <c r="EO356" s="239"/>
      <c r="EP356" s="236"/>
      <c r="EQ356" s="217"/>
      <c r="ER356" s="217"/>
      <c r="ES356" s="236"/>
      <c r="ET356" s="236"/>
      <c r="EU356" s="236"/>
      <c r="EV356" s="239"/>
      <c r="EW356" s="236"/>
      <c r="EX356" s="217"/>
      <c r="EY356" s="240"/>
      <c r="EZ356" s="241"/>
      <c r="FA356" s="240"/>
      <c r="FB356" s="241"/>
      <c r="FC356" s="240"/>
      <c r="FD356" s="217"/>
      <c r="FE356" s="240"/>
      <c r="FF356" s="217"/>
      <c r="FG356" s="217"/>
      <c r="FH356" s="217"/>
      <c r="FI356" s="217"/>
      <c r="FJ356" s="217"/>
      <c r="FK356" s="240"/>
      <c r="FL356" s="217"/>
      <c r="FM356" s="240"/>
      <c r="FN356" s="217"/>
      <c r="FO356" s="240"/>
      <c r="FP356" s="217"/>
      <c r="FQ356" s="240"/>
      <c r="FR356" s="217"/>
      <c r="FS356" s="236"/>
      <c r="FT356" s="236"/>
      <c r="FU356" s="236"/>
      <c r="FV356" s="236"/>
      <c r="FW356" s="239"/>
      <c r="FX356" s="236"/>
      <c r="FY356" s="217"/>
      <c r="FZ356" s="240"/>
      <c r="GA356" s="217"/>
      <c r="GB356" s="242"/>
      <c r="GC356" s="217"/>
      <c r="GD356" s="240"/>
      <c r="GE356" s="240"/>
      <c r="GF356" s="240"/>
      <c r="GG356" s="240"/>
      <c r="GH356" s="240"/>
      <c r="GI356" s="217"/>
      <c r="GJ356" s="217"/>
      <c r="GK356" s="239"/>
      <c r="GL356" s="243"/>
    </row>
    <row r="357" ht="15.75" customHeight="1">
      <c r="A357" s="229"/>
      <c r="B357" s="258"/>
      <c r="C357" s="259"/>
      <c r="D357" s="260"/>
      <c r="E357" s="229"/>
      <c r="F357" s="261"/>
      <c r="G357" s="261"/>
      <c r="H357" s="262"/>
      <c r="I357" s="259"/>
      <c r="J357" s="259"/>
      <c r="K357" s="229"/>
      <c r="L357" s="229"/>
      <c r="M357" s="229"/>
      <c r="N357" s="229"/>
      <c r="O357" s="229"/>
      <c r="P357" s="217"/>
      <c r="Q357" s="229"/>
      <c r="R357" s="218"/>
      <c r="S357" s="265"/>
      <c r="T357" s="220"/>
      <c r="U357" s="220"/>
      <c r="V357" s="221"/>
      <c r="W357" s="220"/>
      <c r="X357" s="222"/>
      <c r="Y357" s="222"/>
      <c r="Z357" s="229"/>
      <c r="AA357" s="229"/>
      <c r="AB357" s="229"/>
      <c r="AC357" s="229"/>
      <c r="AD357" s="229"/>
      <c r="AE357" s="229"/>
      <c r="AF357" s="229"/>
      <c r="AG357" s="264"/>
      <c r="AH357" s="224"/>
      <c r="AI357" s="264"/>
      <c r="AJ357" s="224"/>
      <c r="AK357" s="237"/>
      <c r="AL357" s="258"/>
      <c r="AM357" s="258"/>
      <c r="AN357" s="229"/>
      <c r="AO357" s="229"/>
      <c r="AP357" s="229"/>
      <c r="AQ357" s="259"/>
      <c r="AR357" s="259"/>
      <c r="AS357" s="229"/>
      <c r="AT357" s="229"/>
      <c r="AU357" s="229"/>
      <c r="AV357" s="229"/>
      <c r="AW357" s="264"/>
      <c r="AX357" s="264"/>
      <c r="AY357" s="264"/>
      <c r="AZ357" s="264"/>
      <c r="BA357" s="219"/>
      <c r="BB357" s="219"/>
      <c r="BC357" s="229"/>
      <c r="BD357" s="229"/>
      <c r="BE357" s="217"/>
      <c r="BF357" s="229"/>
      <c r="BG357" s="258"/>
      <c r="BH357" s="258"/>
      <c r="BI357" s="229"/>
      <c r="BJ357" s="229"/>
      <c r="BK357" s="229"/>
      <c r="BL357" s="229"/>
      <c r="BM357" s="258"/>
      <c r="BN357" s="258"/>
      <c r="BO357" s="258"/>
      <c r="BP357" s="258"/>
      <c r="BQ357" s="229"/>
      <c r="BR357" s="258"/>
      <c r="BS357" s="258"/>
      <c r="BT357" s="258"/>
      <c r="BU357" s="258"/>
      <c r="BV357" s="229"/>
      <c r="BW357" s="229"/>
      <c r="BX357" s="241"/>
      <c r="BY357" s="241"/>
      <c r="BZ357" s="241"/>
      <c r="CA357" s="217"/>
      <c r="CB357" s="217"/>
      <c r="CC357" s="229"/>
      <c r="CD357" s="217"/>
      <c r="CE357" s="217"/>
      <c r="CF357" s="217"/>
      <c r="CG357" s="217"/>
      <c r="CH357" s="217"/>
      <c r="CI357" s="229"/>
      <c r="CJ357" s="217"/>
      <c r="CK357" s="217"/>
      <c r="CL357" s="217"/>
      <c r="CM357" s="217"/>
      <c r="CN357" s="217"/>
      <c r="CO357" s="229"/>
      <c r="CP357" s="217"/>
      <c r="CQ357" s="217"/>
      <c r="CR357" s="217"/>
      <c r="CS357" s="217"/>
      <c r="CT357" s="217"/>
      <c r="CU357" s="229"/>
      <c r="CV357" s="217"/>
      <c r="CW357" s="217"/>
      <c r="CX357" s="217"/>
      <c r="CY357" s="217"/>
      <c r="CZ357" s="217"/>
      <c r="DA357" s="229"/>
      <c r="DB357" s="217"/>
      <c r="DC357" s="217"/>
      <c r="DD357" s="217"/>
      <c r="DE357" s="217"/>
      <c r="DF357" s="217"/>
      <c r="DG357" s="229"/>
      <c r="DH357" s="217"/>
      <c r="DI357" s="217"/>
      <c r="DJ357" s="217"/>
      <c r="DK357" s="217"/>
      <c r="DL357" s="217"/>
      <c r="DM357" s="229"/>
      <c r="DN357" s="217"/>
      <c r="DO357" s="217"/>
      <c r="DP357" s="217"/>
      <c r="DQ357" s="217"/>
      <c r="DR357" s="217"/>
      <c r="DS357" s="229"/>
      <c r="DT357" s="229"/>
      <c r="DU357" s="229"/>
      <c r="DV357" s="217"/>
      <c r="DW357" s="217"/>
      <c r="DX357" s="230"/>
      <c r="DY357" s="231"/>
      <c r="DZ357" s="231"/>
      <c r="EA357" s="230"/>
      <c r="EB357" s="232"/>
      <c r="EC357" s="217"/>
      <c r="ED357" s="233"/>
      <c r="EE357" s="234"/>
      <c r="EF357" s="235"/>
      <c r="EG357" s="233"/>
      <c r="EH357" s="236"/>
      <c r="EI357" s="217"/>
      <c r="EJ357" s="237"/>
      <c r="EK357" s="217"/>
      <c r="EL357" s="217"/>
      <c r="EM357" s="238"/>
      <c r="EN357" s="236"/>
      <c r="EO357" s="239"/>
      <c r="EP357" s="236"/>
      <c r="EQ357" s="217"/>
      <c r="ER357" s="217"/>
      <c r="ES357" s="236"/>
      <c r="ET357" s="236"/>
      <c r="EU357" s="236"/>
      <c r="EV357" s="239"/>
      <c r="EW357" s="236"/>
      <c r="EX357" s="217"/>
      <c r="EY357" s="240"/>
      <c r="EZ357" s="241"/>
      <c r="FA357" s="240"/>
      <c r="FB357" s="241"/>
      <c r="FC357" s="240"/>
      <c r="FD357" s="217"/>
      <c r="FE357" s="240"/>
      <c r="FF357" s="217"/>
      <c r="FG357" s="217"/>
      <c r="FH357" s="217"/>
      <c r="FI357" s="217"/>
      <c r="FJ357" s="217"/>
      <c r="FK357" s="240"/>
      <c r="FL357" s="217"/>
      <c r="FM357" s="240"/>
      <c r="FN357" s="217"/>
      <c r="FO357" s="240"/>
      <c r="FP357" s="217"/>
      <c r="FQ357" s="240"/>
      <c r="FR357" s="217"/>
      <c r="FS357" s="236"/>
      <c r="FT357" s="236"/>
      <c r="FU357" s="236"/>
      <c r="FV357" s="236"/>
      <c r="FW357" s="239"/>
      <c r="FX357" s="236"/>
      <c r="FY357" s="217"/>
      <c r="FZ357" s="240"/>
      <c r="GA357" s="217"/>
      <c r="GB357" s="242"/>
      <c r="GC357" s="217"/>
      <c r="GD357" s="240"/>
      <c r="GE357" s="240"/>
      <c r="GF357" s="240"/>
      <c r="GG357" s="240"/>
      <c r="GH357" s="240"/>
      <c r="GI357" s="217"/>
      <c r="GJ357" s="217"/>
      <c r="GK357" s="239"/>
      <c r="GL357" s="243"/>
    </row>
    <row r="358" ht="15.75" customHeight="1">
      <c r="A358" s="229"/>
      <c r="B358" s="258"/>
      <c r="C358" s="259"/>
      <c r="D358" s="260"/>
      <c r="E358" s="229"/>
      <c r="F358" s="261"/>
      <c r="G358" s="261"/>
      <c r="H358" s="262"/>
      <c r="I358" s="259"/>
      <c r="J358" s="259"/>
      <c r="K358" s="229"/>
      <c r="L358" s="229"/>
      <c r="M358" s="229"/>
      <c r="N358" s="229"/>
      <c r="O358" s="229"/>
      <c r="P358" s="217"/>
      <c r="Q358" s="229"/>
      <c r="R358" s="218"/>
      <c r="S358" s="265"/>
      <c r="T358" s="220"/>
      <c r="U358" s="220"/>
      <c r="V358" s="221"/>
      <c r="W358" s="220"/>
      <c r="X358" s="222"/>
      <c r="Y358" s="222"/>
      <c r="Z358" s="229"/>
      <c r="AA358" s="229"/>
      <c r="AB358" s="229"/>
      <c r="AC358" s="229"/>
      <c r="AD358" s="229"/>
      <c r="AE358" s="229"/>
      <c r="AF358" s="229"/>
      <c r="AG358" s="264"/>
      <c r="AH358" s="224"/>
      <c r="AI358" s="264"/>
      <c r="AJ358" s="224"/>
      <c r="AK358" s="237"/>
      <c r="AL358" s="258"/>
      <c r="AM358" s="258"/>
      <c r="AN358" s="229"/>
      <c r="AO358" s="229"/>
      <c r="AP358" s="229"/>
      <c r="AQ358" s="259"/>
      <c r="AR358" s="259"/>
      <c r="AS358" s="229"/>
      <c r="AT358" s="229"/>
      <c r="AU358" s="229"/>
      <c r="AV358" s="229"/>
      <c r="AW358" s="264"/>
      <c r="AX358" s="264"/>
      <c r="AY358" s="264"/>
      <c r="AZ358" s="264"/>
      <c r="BA358" s="219"/>
      <c r="BB358" s="219"/>
      <c r="BC358" s="229"/>
      <c r="BD358" s="229"/>
      <c r="BE358" s="217"/>
      <c r="BF358" s="229"/>
      <c r="BG358" s="258"/>
      <c r="BH358" s="258"/>
      <c r="BI358" s="229"/>
      <c r="BJ358" s="229"/>
      <c r="BK358" s="229"/>
      <c r="BL358" s="229"/>
      <c r="BM358" s="258"/>
      <c r="BN358" s="258"/>
      <c r="BO358" s="258"/>
      <c r="BP358" s="258"/>
      <c r="BQ358" s="229"/>
      <c r="BR358" s="258"/>
      <c r="BS358" s="258"/>
      <c r="BT358" s="258"/>
      <c r="BU358" s="258"/>
      <c r="BV358" s="229"/>
      <c r="BW358" s="229"/>
      <c r="BX358" s="241"/>
      <c r="BY358" s="241"/>
      <c r="BZ358" s="241"/>
      <c r="CA358" s="217"/>
      <c r="CB358" s="217"/>
      <c r="CC358" s="229"/>
      <c r="CD358" s="217"/>
      <c r="CE358" s="217"/>
      <c r="CF358" s="217"/>
      <c r="CG358" s="217"/>
      <c r="CH358" s="217"/>
      <c r="CI358" s="229"/>
      <c r="CJ358" s="217"/>
      <c r="CK358" s="217"/>
      <c r="CL358" s="217"/>
      <c r="CM358" s="217"/>
      <c r="CN358" s="217"/>
      <c r="CO358" s="229"/>
      <c r="CP358" s="217"/>
      <c r="CQ358" s="217"/>
      <c r="CR358" s="217"/>
      <c r="CS358" s="217"/>
      <c r="CT358" s="217"/>
      <c r="CU358" s="229"/>
      <c r="CV358" s="217"/>
      <c r="CW358" s="217"/>
      <c r="CX358" s="217"/>
      <c r="CY358" s="217"/>
      <c r="CZ358" s="217"/>
      <c r="DA358" s="229"/>
      <c r="DB358" s="217"/>
      <c r="DC358" s="217"/>
      <c r="DD358" s="217"/>
      <c r="DE358" s="217"/>
      <c r="DF358" s="217"/>
      <c r="DG358" s="229"/>
      <c r="DH358" s="217"/>
      <c r="DI358" s="217"/>
      <c r="DJ358" s="217"/>
      <c r="DK358" s="217"/>
      <c r="DL358" s="217"/>
      <c r="DM358" s="229"/>
      <c r="DN358" s="217"/>
      <c r="DO358" s="217"/>
      <c r="DP358" s="217"/>
      <c r="DQ358" s="217"/>
      <c r="DR358" s="217"/>
      <c r="DS358" s="229"/>
      <c r="DT358" s="229"/>
      <c r="DU358" s="229"/>
      <c r="DV358" s="217"/>
      <c r="DW358" s="217"/>
      <c r="DX358" s="230"/>
      <c r="DY358" s="231"/>
      <c r="DZ358" s="231"/>
      <c r="EA358" s="230"/>
      <c r="EB358" s="232"/>
      <c r="EC358" s="217"/>
      <c r="ED358" s="233"/>
      <c r="EE358" s="234"/>
      <c r="EF358" s="235"/>
      <c r="EG358" s="233"/>
      <c r="EH358" s="236"/>
      <c r="EI358" s="217"/>
      <c r="EJ358" s="237"/>
      <c r="EK358" s="217"/>
      <c r="EL358" s="217"/>
      <c r="EM358" s="238"/>
      <c r="EN358" s="236"/>
      <c r="EO358" s="239"/>
      <c r="EP358" s="236"/>
      <c r="EQ358" s="217"/>
      <c r="ER358" s="217"/>
      <c r="ES358" s="236"/>
      <c r="ET358" s="236"/>
      <c r="EU358" s="236"/>
      <c r="EV358" s="239"/>
      <c r="EW358" s="236"/>
      <c r="EX358" s="217"/>
      <c r="EY358" s="240"/>
      <c r="EZ358" s="241"/>
      <c r="FA358" s="240"/>
      <c r="FB358" s="241"/>
      <c r="FC358" s="240"/>
      <c r="FD358" s="217"/>
      <c r="FE358" s="240"/>
      <c r="FF358" s="217"/>
      <c r="FG358" s="217"/>
      <c r="FH358" s="217"/>
      <c r="FI358" s="217"/>
      <c r="FJ358" s="217"/>
      <c r="FK358" s="240"/>
      <c r="FL358" s="217"/>
      <c r="FM358" s="240"/>
      <c r="FN358" s="217"/>
      <c r="FO358" s="240"/>
      <c r="FP358" s="217"/>
      <c r="FQ358" s="240"/>
      <c r="FR358" s="217"/>
      <c r="FS358" s="236"/>
      <c r="FT358" s="236"/>
      <c r="FU358" s="236"/>
      <c r="FV358" s="236"/>
      <c r="FW358" s="239"/>
      <c r="FX358" s="236"/>
      <c r="FY358" s="217"/>
      <c r="FZ358" s="240"/>
      <c r="GA358" s="217"/>
      <c r="GB358" s="242"/>
      <c r="GC358" s="217"/>
      <c r="GD358" s="240"/>
      <c r="GE358" s="240"/>
      <c r="GF358" s="240"/>
      <c r="GG358" s="240"/>
      <c r="GH358" s="240"/>
      <c r="GI358" s="217"/>
      <c r="GJ358" s="217"/>
      <c r="GK358" s="239"/>
      <c r="GL358" s="243"/>
    </row>
    <row r="359" ht="15.75" customHeight="1">
      <c r="A359" s="229"/>
      <c r="B359" s="258"/>
      <c r="C359" s="259"/>
      <c r="D359" s="260"/>
      <c r="E359" s="229"/>
      <c r="F359" s="261"/>
      <c r="G359" s="261"/>
      <c r="H359" s="262"/>
      <c r="I359" s="259"/>
      <c r="J359" s="259"/>
      <c r="K359" s="229"/>
      <c r="L359" s="229"/>
      <c r="M359" s="229"/>
      <c r="N359" s="229"/>
      <c r="O359" s="229"/>
      <c r="P359" s="217"/>
      <c r="Q359" s="229"/>
      <c r="R359" s="218"/>
      <c r="S359" s="265"/>
      <c r="T359" s="220"/>
      <c r="U359" s="220"/>
      <c r="V359" s="221"/>
      <c r="W359" s="220"/>
      <c r="X359" s="222"/>
      <c r="Y359" s="222"/>
      <c r="Z359" s="229"/>
      <c r="AA359" s="229"/>
      <c r="AB359" s="229"/>
      <c r="AC359" s="229"/>
      <c r="AD359" s="229"/>
      <c r="AE359" s="229"/>
      <c r="AF359" s="229"/>
      <c r="AG359" s="264"/>
      <c r="AH359" s="224"/>
      <c r="AI359" s="264"/>
      <c r="AJ359" s="224"/>
      <c r="AK359" s="237"/>
      <c r="AL359" s="258"/>
      <c r="AM359" s="258"/>
      <c r="AN359" s="229"/>
      <c r="AO359" s="229"/>
      <c r="AP359" s="229"/>
      <c r="AQ359" s="259"/>
      <c r="AR359" s="259"/>
      <c r="AS359" s="229"/>
      <c r="AT359" s="229"/>
      <c r="AU359" s="229"/>
      <c r="AV359" s="229"/>
      <c r="AW359" s="264"/>
      <c r="AX359" s="264"/>
      <c r="AY359" s="264"/>
      <c r="AZ359" s="264"/>
      <c r="BA359" s="219"/>
      <c r="BB359" s="219"/>
      <c r="BC359" s="229"/>
      <c r="BD359" s="229"/>
      <c r="BE359" s="217"/>
      <c r="BF359" s="229"/>
      <c r="BG359" s="258"/>
      <c r="BH359" s="258"/>
      <c r="BI359" s="229"/>
      <c r="BJ359" s="229"/>
      <c r="BK359" s="229"/>
      <c r="BL359" s="229"/>
      <c r="BM359" s="258"/>
      <c r="BN359" s="258"/>
      <c r="BO359" s="258"/>
      <c r="BP359" s="258"/>
      <c r="BQ359" s="229"/>
      <c r="BR359" s="258"/>
      <c r="BS359" s="258"/>
      <c r="BT359" s="258"/>
      <c r="BU359" s="258"/>
      <c r="BV359" s="229"/>
      <c r="BW359" s="229"/>
      <c r="BX359" s="241"/>
      <c r="BY359" s="241"/>
      <c r="BZ359" s="241"/>
      <c r="CA359" s="217"/>
      <c r="CB359" s="217"/>
      <c r="CC359" s="229"/>
      <c r="CD359" s="217"/>
      <c r="CE359" s="217"/>
      <c r="CF359" s="217"/>
      <c r="CG359" s="217"/>
      <c r="CH359" s="217"/>
      <c r="CI359" s="229"/>
      <c r="CJ359" s="217"/>
      <c r="CK359" s="217"/>
      <c r="CL359" s="217"/>
      <c r="CM359" s="217"/>
      <c r="CN359" s="217"/>
      <c r="CO359" s="229"/>
      <c r="CP359" s="217"/>
      <c r="CQ359" s="217"/>
      <c r="CR359" s="217"/>
      <c r="CS359" s="217"/>
      <c r="CT359" s="217"/>
      <c r="CU359" s="229"/>
      <c r="CV359" s="217"/>
      <c r="CW359" s="217"/>
      <c r="CX359" s="217"/>
      <c r="CY359" s="217"/>
      <c r="CZ359" s="217"/>
      <c r="DA359" s="229"/>
      <c r="DB359" s="217"/>
      <c r="DC359" s="217"/>
      <c r="DD359" s="217"/>
      <c r="DE359" s="217"/>
      <c r="DF359" s="217"/>
      <c r="DG359" s="229"/>
      <c r="DH359" s="217"/>
      <c r="DI359" s="217"/>
      <c r="DJ359" s="217"/>
      <c r="DK359" s="217"/>
      <c r="DL359" s="217"/>
      <c r="DM359" s="229"/>
      <c r="DN359" s="217"/>
      <c r="DO359" s="217"/>
      <c r="DP359" s="217"/>
      <c r="DQ359" s="217"/>
      <c r="DR359" s="217"/>
      <c r="DS359" s="229"/>
      <c r="DT359" s="229"/>
      <c r="DU359" s="229"/>
      <c r="DV359" s="217"/>
      <c r="DW359" s="217"/>
      <c r="DX359" s="230"/>
      <c r="DY359" s="231"/>
      <c r="DZ359" s="231"/>
      <c r="EA359" s="230"/>
      <c r="EB359" s="232"/>
      <c r="EC359" s="217"/>
      <c r="ED359" s="233"/>
      <c r="EE359" s="234"/>
      <c r="EF359" s="235"/>
      <c r="EG359" s="233"/>
      <c r="EH359" s="236"/>
      <c r="EI359" s="217"/>
      <c r="EJ359" s="237"/>
      <c r="EK359" s="217"/>
      <c r="EL359" s="217"/>
      <c r="EM359" s="238"/>
      <c r="EN359" s="236"/>
      <c r="EO359" s="239"/>
      <c r="EP359" s="236"/>
      <c r="EQ359" s="217"/>
      <c r="ER359" s="217"/>
      <c r="ES359" s="236"/>
      <c r="ET359" s="236"/>
      <c r="EU359" s="236"/>
      <c r="EV359" s="239"/>
      <c r="EW359" s="236"/>
      <c r="EX359" s="217"/>
      <c r="EY359" s="240"/>
      <c r="EZ359" s="241"/>
      <c r="FA359" s="240"/>
      <c r="FB359" s="241"/>
      <c r="FC359" s="240"/>
      <c r="FD359" s="217"/>
      <c r="FE359" s="240"/>
      <c r="FF359" s="217"/>
      <c r="FG359" s="217"/>
      <c r="FH359" s="217"/>
      <c r="FI359" s="217"/>
      <c r="FJ359" s="217"/>
      <c r="FK359" s="240"/>
      <c r="FL359" s="217"/>
      <c r="FM359" s="240"/>
      <c r="FN359" s="217"/>
      <c r="FO359" s="240"/>
      <c r="FP359" s="217"/>
      <c r="FQ359" s="240"/>
      <c r="FR359" s="217"/>
      <c r="FS359" s="236"/>
      <c r="FT359" s="236"/>
      <c r="FU359" s="236"/>
      <c r="FV359" s="236"/>
      <c r="FW359" s="239"/>
      <c r="FX359" s="236"/>
      <c r="FY359" s="217"/>
      <c r="FZ359" s="240"/>
      <c r="GA359" s="217"/>
      <c r="GB359" s="242"/>
      <c r="GC359" s="217"/>
      <c r="GD359" s="240"/>
      <c r="GE359" s="240"/>
      <c r="GF359" s="240"/>
      <c r="GG359" s="240"/>
      <c r="GH359" s="240"/>
      <c r="GI359" s="217"/>
      <c r="GJ359" s="217"/>
      <c r="GK359" s="239"/>
      <c r="GL359" s="243"/>
    </row>
    <row r="360" ht="15.75" customHeight="1">
      <c r="A360" s="229"/>
      <c r="B360" s="258"/>
      <c r="C360" s="259"/>
      <c r="D360" s="260"/>
      <c r="E360" s="229"/>
      <c r="F360" s="261"/>
      <c r="G360" s="261"/>
      <c r="H360" s="262"/>
      <c r="I360" s="259"/>
      <c r="J360" s="259"/>
      <c r="K360" s="229"/>
      <c r="L360" s="229"/>
      <c r="M360" s="229"/>
      <c r="N360" s="229"/>
      <c r="O360" s="229"/>
      <c r="P360" s="217"/>
      <c r="Q360" s="229"/>
      <c r="R360" s="218"/>
      <c r="S360" s="265"/>
      <c r="T360" s="220"/>
      <c r="U360" s="220"/>
      <c r="V360" s="221"/>
      <c r="W360" s="220"/>
      <c r="X360" s="222"/>
      <c r="Y360" s="222"/>
      <c r="Z360" s="229"/>
      <c r="AA360" s="229"/>
      <c r="AB360" s="229"/>
      <c r="AC360" s="229"/>
      <c r="AD360" s="229"/>
      <c r="AE360" s="229"/>
      <c r="AF360" s="229"/>
      <c r="AG360" s="264"/>
      <c r="AH360" s="224"/>
      <c r="AI360" s="264"/>
      <c r="AJ360" s="224"/>
      <c r="AK360" s="237"/>
      <c r="AL360" s="258"/>
      <c r="AM360" s="258"/>
      <c r="AN360" s="229"/>
      <c r="AO360" s="229"/>
      <c r="AP360" s="229"/>
      <c r="AQ360" s="259"/>
      <c r="AR360" s="259"/>
      <c r="AS360" s="229"/>
      <c r="AT360" s="229"/>
      <c r="AU360" s="229"/>
      <c r="AV360" s="229"/>
      <c r="AW360" s="264"/>
      <c r="AX360" s="264"/>
      <c r="AY360" s="264"/>
      <c r="AZ360" s="264"/>
      <c r="BA360" s="219"/>
      <c r="BB360" s="219"/>
      <c r="BC360" s="229"/>
      <c r="BD360" s="229"/>
      <c r="BE360" s="217"/>
      <c r="BF360" s="229"/>
      <c r="BG360" s="258"/>
      <c r="BH360" s="258"/>
      <c r="BI360" s="229"/>
      <c r="BJ360" s="229"/>
      <c r="BK360" s="229"/>
      <c r="BL360" s="229"/>
      <c r="BM360" s="258"/>
      <c r="BN360" s="258"/>
      <c r="BO360" s="258"/>
      <c r="BP360" s="258"/>
      <c r="BQ360" s="229"/>
      <c r="BR360" s="258"/>
      <c r="BS360" s="258"/>
      <c r="BT360" s="258"/>
      <c r="BU360" s="258"/>
      <c r="BV360" s="229"/>
      <c r="BW360" s="229"/>
      <c r="BX360" s="241"/>
      <c r="BY360" s="241"/>
      <c r="BZ360" s="241"/>
      <c r="CA360" s="217"/>
      <c r="CB360" s="217"/>
      <c r="CC360" s="229"/>
      <c r="CD360" s="217"/>
      <c r="CE360" s="217"/>
      <c r="CF360" s="217"/>
      <c r="CG360" s="217"/>
      <c r="CH360" s="217"/>
      <c r="CI360" s="229"/>
      <c r="CJ360" s="217"/>
      <c r="CK360" s="217"/>
      <c r="CL360" s="217"/>
      <c r="CM360" s="217"/>
      <c r="CN360" s="217"/>
      <c r="CO360" s="229"/>
      <c r="CP360" s="217"/>
      <c r="CQ360" s="217"/>
      <c r="CR360" s="217"/>
      <c r="CS360" s="217"/>
      <c r="CT360" s="217"/>
      <c r="CU360" s="229"/>
      <c r="CV360" s="217"/>
      <c r="CW360" s="217"/>
      <c r="CX360" s="217"/>
      <c r="CY360" s="217"/>
      <c r="CZ360" s="217"/>
      <c r="DA360" s="229"/>
      <c r="DB360" s="217"/>
      <c r="DC360" s="217"/>
      <c r="DD360" s="217"/>
      <c r="DE360" s="217"/>
      <c r="DF360" s="217"/>
      <c r="DG360" s="229"/>
      <c r="DH360" s="217"/>
      <c r="DI360" s="217"/>
      <c r="DJ360" s="217"/>
      <c r="DK360" s="217"/>
      <c r="DL360" s="217"/>
      <c r="DM360" s="229"/>
      <c r="DN360" s="217"/>
      <c r="DO360" s="217"/>
      <c r="DP360" s="217"/>
      <c r="DQ360" s="217"/>
      <c r="DR360" s="217"/>
      <c r="DS360" s="229"/>
      <c r="DT360" s="229"/>
      <c r="DU360" s="229"/>
      <c r="DV360" s="217"/>
      <c r="DW360" s="217"/>
      <c r="DX360" s="230"/>
      <c r="DY360" s="231"/>
      <c r="DZ360" s="231"/>
      <c r="EA360" s="230"/>
      <c r="EB360" s="232"/>
      <c r="EC360" s="217"/>
      <c r="ED360" s="233"/>
      <c r="EE360" s="234"/>
      <c r="EF360" s="235"/>
      <c r="EG360" s="233"/>
      <c r="EH360" s="236"/>
      <c r="EI360" s="217"/>
      <c r="EJ360" s="237"/>
      <c r="EK360" s="217"/>
      <c r="EL360" s="217"/>
      <c r="EM360" s="238"/>
      <c r="EN360" s="236"/>
      <c r="EO360" s="239"/>
      <c r="EP360" s="236"/>
      <c r="EQ360" s="217"/>
      <c r="ER360" s="217"/>
      <c r="ES360" s="236"/>
      <c r="ET360" s="236"/>
      <c r="EU360" s="236"/>
      <c r="EV360" s="239"/>
      <c r="EW360" s="236"/>
      <c r="EX360" s="217"/>
      <c r="EY360" s="240"/>
      <c r="EZ360" s="241"/>
      <c r="FA360" s="240"/>
      <c r="FB360" s="241"/>
      <c r="FC360" s="240"/>
      <c r="FD360" s="217"/>
      <c r="FE360" s="240"/>
      <c r="FF360" s="217"/>
      <c r="FG360" s="217"/>
      <c r="FH360" s="217"/>
      <c r="FI360" s="217"/>
      <c r="FJ360" s="217"/>
      <c r="FK360" s="240"/>
      <c r="FL360" s="217"/>
      <c r="FM360" s="240"/>
      <c r="FN360" s="217"/>
      <c r="FO360" s="240"/>
      <c r="FP360" s="217"/>
      <c r="FQ360" s="240"/>
      <c r="FR360" s="217"/>
      <c r="FS360" s="236"/>
      <c r="FT360" s="236"/>
      <c r="FU360" s="236"/>
      <c r="FV360" s="236"/>
      <c r="FW360" s="239"/>
      <c r="FX360" s="236"/>
      <c r="FY360" s="217"/>
      <c r="FZ360" s="240"/>
      <c r="GA360" s="217"/>
      <c r="GB360" s="242"/>
      <c r="GC360" s="217"/>
      <c r="GD360" s="240"/>
      <c r="GE360" s="240"/>
      <c r="GF360" s="240"/>
      <c r="GG360" s="240"/>
      <c r="GH360" s="240"/>
      <c r="GI360" s="217"/>
      <c r="GJ360" s="217"/>
      <c r="GK360" s="239"/>
      <c r="GL360" s="243"/>
    </row>
    <row r="361" ht="15.75" customHeight="1">
      <c r="A361" s="229"/>
      <c r="B361" s="258"/>
      <c r="C361" s="259"/>
      <c r="D361" s="260"/>
      <c r="E361" s="229"/>
      <c r="F361" s="261"/>
      <c r="G361" s="261"/>
      <c r="H361" s="262"/>
      <c r="I361" s="259"/>
      <c r="J361" s="259"/>
      <c r="K361" s="229"/>
      <c r="L361" s="229"/>
      <c r="M361" s="229"/>
      <c r="N361" s="229"/>
      <c r="O361" s="229"/>
      <c r="P361" s="217"/>
      <c r="Q361" s="229"/>
      <c r="R361" s="218"/>
      <c r="S361" s="265"/>
      <c r="T361" s="220"/>
      <c r="U361" s="220"/>
      <c r="V361" s="221"/>
      <c r="W361" s="220"/>
      <c r="X361" s="222"/>
      <c r="Y361" s="222"/>
      <c r="Z361" s="229"/>
      <c r="AA361" s="229"/>
      <c r="AB361" s="229"/>
      <c r="AC361" s="229"/>
      <c r="AD361" s="229"/>
      <c r="AE361" s="229"/>
      <c r="AF361" s="229"/>
      <c r="AG361" s="264"/>
      <c r="AH361" s="224"/>
      <c r="AI361" s="264"/>
      <c r="AJ361" s="224"/>
      <c r="AK361" s="237"/>
      <c r="AL361" s="258"/>
      <c r="AM361" s="258"/>
      <c r="AN361" s="229"/>
      <c r="AO361" s="229"/>
      <c r="AP361" s="229"/>
      <c r="AQ361" s="259"/>
      <c r="AR361" s="259"/>
      <c r="AS361" s="229"/>
      <c r="AT361" s="229"/>
      <c r="AU361" s="229"/>
      <c r="AV361" s="229"/>
      <c r="AW361" s="264"/>
      <c r="AX361" s="264"/>
      <c r="AY361" s="264"/>
      <c r="AZ361" s="264"/>
      <c r="BA361" s="219"/>
      <c r="BB361" s="219"/>
      <c r="BC361" s="229"/>
      <c r="BD361" s="229"/>
      <c r="BE361" s="217"/>
      <c r="BF361" s="229"/>
      <c r="BG361" s="258"/>
      <c r="BH361" s="258"/>
      <c r="BI361" s="229"/>
      <c r="BJ361" s="229"/>
      <c r="BK361" s="229"/>
      <c r="BL361" s="229"/>
      <c r="BM361" s="258"/>
      <c r="BN361" s="258"/>
      <c r="BO361" s="258"/>
      <c r="BP361" s="258"/>
      <c r="BQ361" s="229"/>
      <c r="BR361" s="258"/>
      <c r="BS361" s="258"/>
      <c r="BT361" s="258"/>
      <c r="BU361" s="258"/>
      <c r="BV361" s="229"/>
      <c r="BW361" s="229"/>
      <c r="BX361" s="241"/>
      <c r="BY361" s="241"/>
      <c r="BZ361" s="241"/>
      <c r="CA361" s="217"/>
      <c r="CB361" s="217"/>
      <c r="CC361" s="229"/>
      <c r="CD361" s="217"/>
      <c r="CE361" s="217"/>
      <c r="CF361" s="217"/>
      <c r="CG361" s="217"/>
      <c r="CH361" s="217"/>
      <c r="CI361" s="229"/>
      <c r="CJ361" s="217"/>
      <c r="CK361" s="217"/>
      <c r="CL361" s="217"/>
      <c r="CM361" s="217"/>
      <c r="CN361" s="217"/>
      <c r="CO361" s="229"/>
      <c r="CP361" s="217"/>
      <c r="CQ361" s="217"/>
      <c r="CR361" s="217"/>
      <c r="CS361" s="217"/>
      <c r="CT361" s="217"/>
      <c r="CU361" s="229"/>
      <c r="CV361" s="217"/>
      <c r="CW361" s="217"/>
      <c r="CX361" s="217"/>
      <c r="CY361" s="217"/>
      <c r="CZ361" s="217"/>
      <c r="DA361" s="229"/>
      <c r="DB361" s="217"/>
      <c r="DC361" s="217"/>
      <c r="DD361" s="217"/>
      <c r="DE361" s="217"/>
      <c r="DF361" s="217"/>
      <c r="DG361" s="229"/>
      <c r="DH361" s="217"/>
      <c r="DI361" s="217"/>
      <c r="DJ361" s="217"/>
      <c r="DK361" s="217"/>
      <c r="DL361" s="217"/>
      <c r="DM361" s="229"/>
      <c r="DN361" s="217"/>
      <c r="DO361" s="217"/>
      <c r="DP361" s="217"/>
      <c r="DQ361" s="217"/>
      <c r="DR361" s="217"/>
      <c r="DS361" s="229"/>
      <c r="DT361" s="229"/>
      <c r="DU361" s="229"/>
      <c r="DV361" s="217"/>
      <c r="DW361" s="217"/>
      <c r="DX361" s="230"/>
      <c r="DY361" s="231"/>
      <c r="DZ361" s="231"/>
      <c r="EA361" s="230"/>
      <c r="EB361" s="232"/>
      <c r="EC361" s="217"/>
      <c r="ED361" s="233"/>
      <c r="EE361" s="234"/>
      <c r="EF361" s="235"/>
      <c r="EG361" s="233"/>
      <c r="EH361" s="236"/>
      <c r="EI361" s="217"/>
      <c r="EJ361" s="237"/>
      <c r="EK361" s="217"/>
      <c r="EL361" s="217"/>
      <c r="EM361" s="238"/>
      <c r="EN361" s="236"/>
      <c r="EO361" s="239"/>
      <c r="EP361" s="236"/>
      <c r="EQ361" s="217"/>
      <c r="ER361" s="217"/>
      <c r="ES361" s="236"/>
      <c r="ET361" s="236"/>
      <c r="EU361" s="236"/>
      <c r="EV361" s="239"/>
      <c r="EW361" s="236"/>
      <c r="EX361" s="217"/>
      <c r="EY361" s="240"/>
      <c r="EZ361" s="241"/>
      <c r="FA361" s="240"/>
      <c r="FB361" s="241"/>
      <c r="FC361" s="240"/>
      <c r="FD361" s="217"/>
      <c r="FE361" s="240"/>
      <c r="FF361" s="217"/>
      <c r="FG361" s="217"/>
      <c r="FH361" s="217"/>
      <c r="FI361" s="217"/>
      <c r="FJ361" s="217"/>
      <c r="FK361" s="240"/>
      <c r="FL361" s="217"/>
      <c r="FM361" s="240"/>
      <c r="FN361" s="217"/>
      <c r="FO361" s="240"/>
      <c r="FP361" s="217"/>
      <c r="FQ361" s="240"/>
      <c r="FR361" s="217"/>
      <c r="FS361" s="236"/>
      <c r="FT361" s="236"/>
      <c r="FU361" s="236"/>
      <c r="FV361" s="236"/>
      <c r="FW361" s="239"/>
      <c r="FX361" s="236"/>
      <c r="FY361" s="217"/>
      <c r="FZ361" s="240"/>
      <c r="GA361" s="217"/>
      <c r="GB361" s="242"/>
      <c r="GC361" s="217"/>
      <c r="GD361" s="240"/>
      <c r="GE361" s="240"/>
      <c r="GF361" s="240"/>
      <c r="GG361" s="240"/>
      <c r="GH361" s="240"/>
      <c r="GI361" s="217"/>
      <c r="GJ361" s="217"/>
      <c r="GK361" s="239"/>
      <c r="GL361" s="243"/>
    </row>
    <row r="362" ht="15.75" customHeight="1">
      <c r="A362" s="229"/>
      <c r="B362" s="258"/>
      <c r="C362" s="259"/>
      <c r="D362" s="260"/>
      <c r="E362" s="229"/>
      <c r="F362" s="261"/>
      <c r="G362" s="261"/>
      <c r="H362" s="262"/>
      <c r="I362" s="259"/>
      <c r="J362" s="259"/>
      <c r="K362" s="229"/>
      <c r="L362" s="229"/>
      <c r="M362" s="229"/>
      <c r="N362" s="229"/>
      <c r="O362" s="229"/>
      <c r="P362" s="217"/>
      <c r="Q362" s="229"/>
      <c r="R362" s="218"/>
      <c r="S362" s="265"/>
      <c r="T362" s="220"/>
      <c r="U362" s="220"/>
      <c r="V362" s="221"/>
      <c r="W362" s="220"/>
      <c r="X362" s="222"/>
      <c r="Y362" s="222"/>
      <c r="Z362" s="229"/>
      <c r="AA362" s="229"/>
      <c r="AB362" s="229"/>
      <c r="AC362" s="229"/>
      <c r="AD362" s="229"/>
      <c r="AE362" s="229"/>
      <c r="AF362" s="229"/>
      <c r="AG362" s="264"/>
      <c r="AH362" s="224"/>
      <c r="AI362" s="264"/>
      <c r="AJ362" s="224"/>
      <c r="AK362" s="237"/>
      <c r="AL362" s="258"/>
      <c r="AM362" s="258"/>
      <c r="AN362" s="229"/>
      <c r="AO362" s="229"/>
      <c r="AP362" s="229"/>
      <c r="AQ362" s="259"/>
      <c r="AR362" s="259"/>
      <c r="AS362" s="229"/>
      <c r="AT362" s="229"/>
      <c r="AU362" s="229"/>
      <c r="AV362" s="229"/>
      <c r="AW362" s="264"/>
      <c r="AX362" s="264"/>
      <c r="AY362" s="264"/>
      <c r="AZ362" s="264"/>
      <c r="BA362" s="219"/>
      <c r="BB362" s="219"/>
      <c r="BC362" s="229"/>
      <c r="BD362" s="229"/>
      <c r="BE362" s="217"/>
      <c r="BF362" s="229"/>
      <c r="BG362" s="258"/>
      <c r="BH362" s="258"/>
      <c r="BI362" s="229"/>
      <c r="BJ362" s="229"/>
      <c r="BK362" s="229"/>
      <c r="BL362" s="229"/>
      <c r="BM362" s="258"/>
      <c r="BN362" s="258"/>
      <c r="BO362" s="258"/>
      <c r="BP362" s="258"/>
      <c r="BQ362" s="229"/>
      <c r="BR362" s="258"/>
      <c r="BS362" s="258"/>
      <c r="BT362" s="258"/>
      <c r="BU362" s="258"/>
      <c r="BV362" s="229"/>
      <c r="BW362" s="229"/>
      <c r="BX362" s="241"/>
      <c r="BY362" s="241"/>
      <c r="BZ362" s="241"/>
      <c r="CA362" s="217"/>
      <c r="CB362" s="217"/>
      <c r="CC362" s="229"/>
      <c r="CD362" s="217"/>
      <c r="CE362" s="217"/>
      <c r="CF362" s="217"/>
      <c r="CG362" s="217"/>
      <c r="CH362" s="217"/>
      <c r="CI362" s="229"/>
      <c r="CJ362" s="217"/>
      <c r="CK362" s="217"/>
      <c r="CL362" s="217"/>
      <c r="CM362" s="217"/>
      <c r="CN362" s="217"/>
      <c r="CO362" s="229"/>
      <c r="CP362" s="217"/>
      <c r="CQ362" s="217"/>
      <c r="CR362" s="217"/>
      <c r="CS362" s="217"/>
      <c r="CT362" s="217"/>
      <c r="CU362" s="229"/>
      <c r="CV362" s="217"/>
      <c r="CW362" s="217"/>
      <c r="CX362" s="217"/>
      <c r="CY362" s="217"/>
      <c r="CZ362" s="217"/>
      <c r="DA362" s="229"/>
      <c r="DB362" s="217"/>
      <c r="DC362" s="217"/>
      <c r="DD362" s="217"/>
      <c r="DE362" s="217"/>
      <c r="DF362" s="217"/>
      <c r="DG362" s="229"/>
      <c r="DH362" s="217"/>
      <c r="DI362" s="217"/>
      <c r="DJ362" s="217"/>
      <c r="DK362" s="217"/>
      <c r="DL362" s="217"/>
      <c r="DM362" s="229"/>
      <c r="DN362" s="217"/>
      <c r="DO362" s="217"/>
      <c r="DP362" s="217"/>
      <c r="DQ362" s="217"/>
      <c r="DR362" s="217"/>
      <c r="DS362" s="229"/>
      <c r="DT362" s="229"/>
      <c r="DU362" s="229"/>
      <c r="DV362" s="217"/>
      <c r="DW362" s="217"/>
      <c r="DX362" s="230"/>
      <c r="DY362" s="231"/>
      <c r="DZ362" s="231"/>
      <c r="EA362" s="230"/>
      <c r="EB362" s="232"/>
      <c r="EC362" s="217"/>
      <c r="ED362" s="233"/>
      <c r="EE362" s="234"/>
      <c r="EF362" s="235"/>
      <c r="EG362" s="233"/>
      <c r="EH362" s="236"/>
      <c r="EI362" s="217"/>
      <c r="EJ362" s="237"/>
      <c r="EK362" s="217"/>
      <c r="EL362" s="217"/>
      <c r="EM362" s="238"/>
      <c r="EN362" s="236"/>
      <c r="EO362" s="239"/>
      <c r="EP362" s="236"/>
      <c r="EQ362" s="217"/>
      <c r="ER362" s="217"/>
      <c r="ES362" s="236"/>
      <c r="ET362" s="236"/>
      <c r="EU362" s="236"/>
      <c r="EV362" s="239"/>
      <c r="EW362" s="236"/>
      <c r="EX362" s="217"/>
      <c r="EY362" s="240"/>
      <c r="EZ362" s="241"/>
      <c r="FA362" s="240"/>
      <c r="FB362" s="241"/>
      <c r="FC362" s="240"/>
      <c r="FD362" s="217"/>
      <c r="FE362" s="240"/>
      <c r="FF362" s="217"/>
      <c r="FG362" s="217"/>
      <c r="FH362" s="217"/>
      <c r="FI362" s="217"/>
      <c r="FJ362" s="217"/>
      <c r="FK362" s="240"/>
      <c r="FL362" s="217"/>
      <c r="FM362" s="240"/>
      <c r="FN362" s="217"/>
      <c r="FO362" s="240"/>
      <c r="FP362" s="217"/>
      <c r="FQ362" s="240"/>
      <c r="FR362" s="217"/>
      <c r="FS362" s="236"/>
      <c r="FT362" s="236"/>
      <c r="FU362" s="236"/>
      <c r="FV362" s="236"/>
      <c r="FW362" s="239"/>
      <c r="FX362" s="236"/>
      <c r="FY362" s="217"/>
      <c r="FZ362" s="240"/>
      <c r="GA362" s="217"/>
      <c r="GB362" s="242"/>
      <c r="GC362" s="217"/>
      <c r="GD362" s="240"/>
      <c r="GE362" s="240"/>
      <c r="GF362" s="240"/>
      <c r="GG362" s="240"/>
      <c r="GH362" s="240"/>
      <c r="GI362" s="217"/>
      <c r="GJ362" s="217"/>
      <c r="GK362" s="239"/>
      <c r="GL362" s="243"/>
    </row>
    <row r="363" ht="15.75" customHeight="1">
      <c r="A363" s="229"/>
      <c r="B363" s="258"/>
      <c r="C363" s="259"/>
      <c r="D363" s="260"/>
      <c r="E363" s="229"/>
      <c r="F363" s="261"/>
      <c r="G363" s="261"/>
      <c r="H363" s="262"/>
      <c r="I363" s="259"/>
      <c r="J363" s="259"/>
      <c r="K363" s="229"/>
      <c r="L363" s="229"/>
      <c r="M363" s="229"/>
      <c r="N363" s="229"/>
      <c r="O363" s="229"/>
      <c r="P363" s="217"/>
      <c r="Q363" s="229"/>
      <c r="R363" s="218"/>
      <c r="S363" s="265"/>
      <c r="T363" s="220"/>
      <c r="U363" s="220"/>
      <c r="V363" s="221"/>
      <c r="W363" s="220"/>
      <c r="X363" s="222"/>
      <c r="Y363" s="222"/>
      <c r="Z363" s="229"/>
      <c r="AA363" s="229"/>
      <c r="AB363" s="229"/>
      <c r="AC363" s="229"/>
      <c r="AD363" s="229"/>
      <c r="AE363" s="229"/>
      <c r="AF363" s="229"/>
      <c r="AG363" s="264"/>
      <c r="AH363" s="224"/>
      <c r="AI363" s="264"/>
      <c r="AJ363" s="224"/>
      <c r="AK363" s="237"/>
      <c r="AL363" s="258"/>
      <c r="AM363" s="258"/>
      <c r="AN363" s="229"/>
      <c r="AO363" s="229"/>
      <c r="AP363" s="229"/>
      <c r="AQ363" s="259"/>
      <c r="AR363" s="259"/>
      <c r="AS363" s="229"/>
      <c r="AT363" s="229"/>
      <c r="AU363" s="229"/>
      <c r="AV363" s="229"/>
      <c r="AW363" s="264"/>
      <c r="AX363" s="264"/>
      <c r="AY363" s="264"/>
      <c r="AZ363" s="264"/>
      <c r="BA363" s="219"/>
      <c r="BB363" s="219"/>
      <c r="BC363" s="229"/>
      <c r="BD363" s="229"/>
      <c r="BE363" s="217"/>
      <c r="BF363" s="229"/>
      <c r="BG363" s="258"/>
      <c r="BH363" s="258"/>
      <c r="BI363" s="229"/>
      <c r="BJ363" s="229"/>
      <c r="BK363" s="229"/>
      <c r="BL363" s="229"/>
      <c r="BM363" s="258"/>
      <c r="BN363" s="258"/>
      <c r="BO363" s="258"/>
      <c r="BP363" s="258"/>
      <c r="BQ363" s="229"/>
      <c r="BR363" s="258"/>
      <c r="BS363" s="258"/>
      <c r="BT363" s="258"/>
      <c r="BU363" s="258"/>
      <c r="BV363" s="229"/>
      <c r="BW363" s="229"/>
      <c r="BX363" s="241"/>
      <c r="BY363" s="241"/>
      <c r="BZ363" s="241"/>
      <c r="CA363" s="217"/>
      <c r="CB363" s="217"/>
      <c r="CC363" s="229"/>
      <c r="CD363" s="217"/>
      <c r="CE363" s="217"/>
      <c r="CF363" s="217"/>
      <c r="CG363" s="217"/>
      <c r="CH363" s="217"/>
      <c r="CI363" s="229"/>
      <c r="CJ363" s="217"/>
      <c r="CK363" s="217"/>
      <c r="CL363" s="217"/>
      <c r="CM363" s="217"/>
      <c r="CN363" s="217"/>
      <c r="CO363" s="229"/>
      <c r="CP363" s="217"/>
      <c r="CQ363" s="217"/>
      <c r="CR363" s="217"/>
      <c r="CS363" s="217"/>
      <c r="CT363" s="217"/>
      <c r="CU363" s="229"/>
      <c r="CV363" s="217"/>
      <c r="CW363" s="217"/>
      <c r="CX363" s="217"/>
      <c r="CY363" s="217"/>
      <c r="CZ363" s="217"/>
      <c r="DA363" s="229"/>
      <c r="DB363" s="217"/>
      <c r="DC363" s="217"/>
      <c r="DD363" s="217"/>
      <c r="DE363" s="217"/>
      <c r="DF363" s="217"/>
      <c r="DG363" s="229"/>
      <c r="DH363" s="217"/>
      <c r="DI363" s="217"/>
      <c r="DJ363" s="217"/>
      <c r="DK363" s="217"/>
      <c r="DL363" s="217"/>
      <c r="DM363" s="229"/>
      <c r="DN363" s="217"/>
      <c r="DO363" s="217"/>
      <c r="DP363" s="217"/>
      <c r="DQ363" s="217"/>
      <c r="DR363" s="217"/>
      <c r="DS363" s="229"/>
      <c r="DT363" s="229"/>
      <c r="DU363" s="229"/>
      <c r="DV363" s="217"/>
      <c r="DW363" s="217"/>
      <c r="DX363" s="230"/>
      <c r="DY363" s="231"/>
      <c r="DZ363" s="231"/>
      <c r="EA363" s="230"/>
      <c r="EB363" s="232"/>
      <c r="EC363" s="217"/>
      <c r="ED363" s="233"/>
      <c r="EE363" s="234"/>
      <c r="EF363" s="235"/>
      <c r="EG363" s="233"/>
      <c r="EH363" s="236"/>
      <c r="EI363" s="217"/>
      <c r="EJ363" s="237"/>
      <c r="EK363" s="217"/>
      <c r="EL363" s="217"/>
      <c r="EM363" s="238"/>
      <c r="EN363" s="236"/>
      <c r="EO363" s="239"/>
      <c r="EP363" s="236"/>
      <c r="EQ363" s="217"/>
      <c r="ER363" s="217"/>
      <c r="ES363" s="236"/>
      <c r="ET363" s="236"/>
      <c r="EU363" s="236"/>
      <c r="EV363" s="239"/>
      <c r="EW363" s="236"/>
      <c r="EX363" s="217"/>
      <c r="EY363" s="240"/>
      <c r="EZ363" s="241"/>
      <c r="FA363" s="240"/>
      <c r="FB363" s="241"/>
      <c r="FC363" s="240"/>
      <c r="FD363" s="217"/>
      <c r="FE363" s="240"/>
      <c r="FF363" s="217"/>
      <c r="FG363" s="217"/>
      <c r="FH363" s="217"/>
      <c r="FI363" s="217"/>
      <c r="FJ363" s="217"/>
      <c r="FK363" s="240"/>
      <c r="FL363" s="217"/>
      <c r="FM363" s="240"/>
      <c r="FN363" s="217"/>
      <c r="FO363" s="240"/>
      <c r="FP363" s="217"/>
      <c r="FQ363" s="240"/>
      <c r="FR363" s="217"/>
      <c r="FS363" s="236"/>
      <c r="FT363" s="236"/>
      <c r="FU363" s="236"/>
      <c r="FV363" s="236"/>
      <c r="FW363" s="239"/>
      <c r="FX363" s="236"/>
      <c r="FY363" s="217"/>
      <c r="FZ363" s="240"/>
      <c r="GA363" s="217"/>
      <c r="GB363" s="242"/>
      <c r="GC363" s="217"/>
      <c r="GD363" s="240"/>
      <c r="GE363" s="240"/>
      <c r="GF363" s="240"/>
      <c r="GG363" s="240"/>
      <c r="GH363" s="240"/>
      <c r="GI363" s="217"/>
      <c r="GJ363" s="217"/>
      <c r="GK363" s="239"/>
      <c r="GL363" s="243"/>
    </row>
    <row r="364" ht="15.75" customHeight="1">
      <c r="A364" s="229"/>
      <c r="B364" s="258"/>
      <c r="C364" s="259"/>
      <c r="D364" s="260"/>
      <c r="E364" s="229"/>
      <c r="F364" s="261"/>
      <c r="G364" s="261"/>
      <c r="H364" s="262"/>
      <c r="I364" s="259"/>
      <c r="J364" s="259"/>
      <c r="K364" s="229"/>
      <c r="L364" s="229"/>
      <c r="M364" s="229"/>
      <c r="N364" s="229"/>
      <c r="O364" s="229"/>
      <c r="P364" s="217"/>
      <c r="Q364" s="229"/>
      <c r="R364" s="218"/>
      <c r="S364" s="265"/>
      <c r="T364" s="220"/>
      <c r="U364" s="220"/>
      <c r="V364" s="221"/>
      <c r="W364" s="220"/>
      <c r="X364" s="222"/>
      <c r="Y364" s="222"/>
      <c r="Z364" s="229"/>
      <c r="AA364" s="229"/>
      <c r="AB364" s="229"/>
      <c r="AC364" s="229"/>
      <c r="AD364" s="229"/>
      <c r="AE364" s="229"/>
      <c r="AF364" s="229"/>
      <c r="AG364" s="264"/>
      <c r="AH364" s="224"/>
      <c r="AI364" s="264"/>
      <c r="AJ364" s="224"/>
      <c r="AK364" s="237"/>
      <c r="AL364" s="258"/>
      <c r="AM364" s="258"/>
      <c r="AN364" s="229"/>
      <c r="AO364" s="229"/>
      <c r="AP364" s="229"/>
      <c r="AQ364" s="259"/>
      <c r="AR364" s="259"/>
      <c r="AS364" s="229"/>
      <c r="AT364" s="229"/>
      <c r="AU364" s="229"/>
      <c r="AV364" s="229"/>
      <c r="AW364" s="264"/>
      <c r="AX364" s="264"/>
      <c r="AY364" s="264"/>
      <c r="AZ364" s="264"/>
      <c r="BA364" s="219"/>
      <c r="BB364" s="219"/>
      <c r="BC364" s="229"/>
      <c r="BD364" s="229"/>
      <c r="BE364" s="217"/>
      <c r="BF364" s="229"/>
      <c r="BG364" s="258"/>
      <c r="BH364" s="258"/>
      <c r="BI364" s="229"/>
      <c r="BJ364" s="229"/>
      <c r="BK364" s="229"/>
      <c r="BL364" s="229"/>
      <c r="BM364" s="258"/>
      <c r="BN364" s="258"/>
      <c r="BO364" s="258"/>
      <c r="BP364" s="258"/>
      <c r="BQ364" s="229"/>
      <c r="BR364" s="258"/>
      <c r="BS364" s="258"/>
      <c r="BT364" s="258"/>
      <c r="BU364" s="258"/>
      <c r="BV364" s="229"/>
      <c r="BW364" s="229"/>
      <c r="BX364" s="241"/>
      <c r="BY364" s="241"/>
      <c r="BZ364" s="241"/>
      <c r="CA364" s="217"/>
      <c r="CB364" s="217"/>
      <c r="CC364" s="229"/>
      <c r="CD364" s="217"/>
      <c r="CE364" s="217"/>
      <c r="CF364" s="217"/>
      <c r="CG364" s="217"/>
      <c r="CH364" s="217"/>
      <c r="CI364" s="229"/>
      <c r="CJ364" s="217"/>
      <c r="CK364" s="217"/>
      <c r="CL364" s="217"/>
      <c r="CM364" s="217"/>
      <c r="CN364" s="217"/>
      <c r="CO364" s="229"/>
      <c r="CP364" s="217"/>
      <c r="CQ364" s="217"/>
      <c r="CR364" s="217"/>
      <c r="CS364" s="217"/>
      <c r="CT364" s="217"/>
      <c r="CU364" s="229"/>
      <c r="CV364" s="217"/>
      <c r="CW364" s="217"/>
      <c r="CX364" s="217"/>
      <c r="CY364" s="217"/>
      <c r="CZ364" s="217"/>
      <c r="DA364" s="229"/>
      <c r="DB364" s="217"/>
      <c r="DC364" s="217"/>
      <c r="DD364" s="217"/>
      <c r="DE364" s="217"/>
      <c r="DF364" s="217"/>
      <c r="DG364" s="229"/>
      <c r="DH364" s="217"/>
      <c r="DI364" s="217"/>
      <c r="DJ364" s="217"/>
      <c r="DK364" s="217"/>
      <c r="DL364" s="217"/>
      <c r="DM364" s="229"/>
      <c r="DN364" s="217"/>
      <c r="DO364" s="217"/>
      <c r="DP364" s="217"/>
      <c r="DQ364" s="217"/>
      <c r="DR364" s="217"/>
      <c r="DS364" s="229"/>
      <c r="DT364" s="229"/>
      <c r="DU364" s="229"/>
      <c r="DV364" s="217"/>
      <c r="DW364" s="217"/>
      <c r="DX364" s="230"/>
      <c r="DY364" s="231"/>
      <c r="DZ364" s="231"/>
      <c r="EA364" s="230"/>
      <c r="EB364" s="232"/>
      <c r="EC364" s="217"/>
      <c r="ED364" s="233"/>
      <c r="EE364" s="234"/>
      <c r="EF364" s="235"/>
      <c r="EG364" s="233"/>
      <c r="EH364" s="236"/>
      <c r="EI364" s="217"/>
      <c r="EJ364" s="237"/>
      <c r="EK364" s="217"/>
      <c r="EL364" s="217"/>
      <c r="EM364" s="238"/>
      <c r="EN364" s="236"/>
      <c r="EO364" s="239"/>
      <c r="EP364" s="236"/>
      <c r="EQ364" s="217"/>
      <c r="ER364" s="217"/>
      <c r="ES364" s="236"/>
      <c r="ET364" s="236"/>
      <c r="EU364" s="236"/>
      <c r="EV364" s="239"/>
      <c r="EW364" s="236"/>
      <c r="EX364" s="217"/>
      <c r="EY364" s="240"/>
      <c r="EZ364" s="241"/>
      <c r="FA364" s="240"/>
      <c r="FB364" s="241"/>
      <c r="FC364" s="240"/>
      <c r="FD364" s="217"/>
      <c r="FE364" s="240"/>
      <c r="FF364" s="217"/>
      <c r="FG364" s="217"/>
      <c r="FH364" s="217"/>
      <c r="FI364" s="217"/>
      <c r="FJ364" s="217"/>
      <c r="FK364" s="240"/>
      <c r="FL364" s="217"/>
      <c r="FM364" s="240"/>
      <c r="FN364" s="217"/>
      <c r="FO364" s="240"/>
      <c r="FP364" s="217"/>
      <c r="FQ364" s="240"/>
      <c r="FR364" s="217"/>
      <c r="FS364" s="236"/>
      <c r="FT364" s="236"/>
      <c r="FU364" s="236"/>
      <c r="FV364" s="236"/>
      <c r="FW364" s="239"/>
      <c r="FX364" s="236"/>
      <c r="FY364" s="217"/>
      <c r="FZ364" s="240"/>
      <c r="GA364" s="217"/>
      <c r="GB364" s="242"/>
      <c r="GC364" s="217"/>
      <c r="GD364" s="240"/>
      <c r="GE364" s="240"/>
      <c r="GF364" s="240"/>
      <c r="GG364" s="240"/>
      <c r="GH364" s="240"/>
      <c r="GI364" s="217"/>
      <c r="GJ364" s="217"/>
      <c r="GK364" s="239"/>
      <c r="GL364" s="243"/>
    </row>
    <row r="365" ht="15.75" customHeight="1">
      <c r="A365" s="229"/>
      <c r="B365" s="258"/>
      <c r="C365" s="259"/>
      <c r="D365" s="260"/>
      <c r="E365" s="229"/>
      <c r="F365" s="261"/>
      <c r="G365" s="261"/>
      <c r="H365" s="262"/>
      <c r="I365" s="259"/>
      <c r="J365" s="259"/>
      <c r="K365" s="229"/>
      <c r="L365" s="229"/>
      <c r="M365" s="229"/>
      <c r="N365" s="229"/>
      <c r="O365" s="229"/>
      <c r="P365" s="217"/>
      <c r="Q365" s="229"/>
      <c r="R365" s="218"/>
      <c r="S365" s="265"/>
      <c r="T365" s="220"/>
      <c r="U365" s="220"/>
      <c r="V365" s="221"/>
      <c r="W365" s="220"/>
      <c r="X365" s="222"/>
      <c r="Y365" s="222"/>
      <c r="Z365" s="229"/>
      <c r="AA365" s="229"/>
      <c r="AB365" s="229"/>
      <c r="AC365" s="229"/>
      <c r="AD365" s="229"/>
      <c r="AE365" s="229"/>
      <c r="AF365" s="229"/>
      <c r="AG365" s="264"/>
      <c r="AH365" s="224"/>
      <c r="AI365" s="264"/>
      <c r="AJ365" s="224"/>
      <c r="AK365" s="237"/>
      <c r="AL365" s="258"/>
      <c r="AM365" s="258"/>
      <c r="AN365" s="229"/>
      <c r="AO365" s="229"/>
      <c r="AP365" s="229"/>
      <c r="AQ365" s="259"/>
      <c r="AR365" s="259"/>
      <c r="AS365" s="229"/>
      <c r="AT365" s="229"/>
      <c r="AU365" s="229"/>
      <c r="AV365" s="229"/>
      <c r="AW365" s="264"/>
      <c r="AX365" s="264"/>
      <c r="AY365" s="264"/>
      <c r="AZ365" s="264"/>
      <c r="BA365" s="219"/>
      <c r="BB365" s="219"/>
      <c r="BC365" s="229"/>
      <c r="BD365" s="229"/>
      <c r="BE365" s="217"/>
      <c r="BF365" s="229"/>
      <c r="BG365" s="258"/>
      <c r="BH365" s="258"/>
      <c r="BI365" s="229"/>
      <c r="BJ365" s="229"/>
      <c r="BK365" s="229"/>
      <c r="BL365" s="229"/>
      <c r="BM365" s="258"/>
      <c r="BN365" s="258"/>
      <c r="BO365" s="258"/>
      <c r="BP365" s="258"/>
      <c r="BQ365" s="229"/>
      <c r="BR365" s="258"/>
      <c r="BS365" s="258"/>
      <c r="BT365" s="258"/>
      <c r="BU365" s="258"/>
      <c r="BV365" s="229"/>
      <c r="BW365" s="229"/>
      <c r="BX365" s="241"/>
      <c r="BY365" s="241"/>
      <c r="BZ365" s="241"/>
      <c r="CA365" s="217"/>
      <c r="CB365" s="217"/>
      <c r="CC365" s="229"/>
      <c r="CD365" s="217"/>
      <c r="CE365" s="217"/>
      <c r="CF365" s="217"/>
      <c r="CG365" s="217"/>
      <c r="CH365" s="217"/>
      <c r="CI365" s="229"/>
      <c r="CJ365" s="217"/>
      <c r="CK365" s="217"/>
      <c r="CL365" s="217"/>
      <c r="CM365" s="217"/>
      <c r="CN365" s="217"/>
      <c r="CO365" s="229"/>
      <c r="CP365" s="217"/>
      <c r="CQ365" s="217"/>
      <c r="CR365" s="217"/>
      <c r="CS365" s="217"/>
      <c r="CT365" s="217"/>
      <c r="CU365" s="229"/>
      <c r="CV365" s="217"/>
      <c r="CW365" s="217"/>
      <c r="CX365" s="217"/>
      <c r="CY365" s="217"/>
      <c r="CZ365" s="217"/>
      <c r="DA365" s="229"/>
      <c r="DB365" s="217"/>
      <c r="DC365" s="217"/>
      <c r="DD365" s="217"/>
      <c r="DE365" s="217"/>
      <c r="DF365" s="217"/>
      <c r="DG365" s="229"/>
      <c r="DH365" s="217"/>
      <c r="DI365" s="217"/>
      <c r="DJ365" s="217"/>
      <c r="DK365" s="217"/>
      <c r="DL365" s="217"/>
      <c r="DM365" s="229"/>
      <c r="DN365" s="217"/>
      <c r="DO365" s="217"/>
      <c r="DP365" s="217"/>
      <c r="DQ365" s="217"/>
      <c r="DR365" s="217"/>
      <c r="DS365" s="229"/>
      <c r="DT365" s="229"/>
      <c r="DU365" s="229"/>
      <c r="DV365" s="217"/>
      <c r="DW365" s="217"/>
      <c r="DX365" s="230"/>
      <c r="DY365" s="231"/>
      <c r="DZ365" s="231"/>
      <c r="EA365" s="230"/>
      <c r="EB365" s="232"/>
      <c r="EC365" s="217"/>
      <c r="ED365" s="233"/>
      <c r="EE365" s="234"/>
      <c r="EF365" s="235"/>
      <c r="EG365" s="233"/>
      <c r="EH365" s="236"/>
      <c r="EI365" s="217"/>
      <c r="EJ365" s="237"/>
      <c r="EK365" s="217"/>
      <c r="EL365" s="217"/>
      <c r="EM365" s="238"/>
      <c r="EN365" s="236"/>
      <c r="EO365" s="239"/>
      <c r="EP365" s="236"/>
      <c r="EQ365" s="217"/>
      <c r="ER365" s="217"/>
      <c r="ES365" s="236"/>
      <c r="ET365" s="236"/>
      <c r="EU365" s="236"/>
      <c r="EV365" s="239"/>
      <c r="EW365" s="236"/>
      <c r="EX365" s="217"/>
      <c r="EY365" s="240"/>
      <c r="EZ365" s="241"/>
      <c r="FA365" s="240"/>
      <c r="FB365" s="241"/>
      <c r="FC365" s="240"/>
      <c r="FD365" s="217"/>
      <c r="FE365" s="240"/>
      <c r="FF365" s="217"/>
      <c r="FG365" s="217"/>
      <c r="FH365" s="217"/>
      <c r="FI365" s="217"/>
      <c r="FJ365" s="217"/>
      <c r="FK365" s="240"/>
      <c r="FL365" s="217"/>
      <c r="FM365" s="240"/>
      <c r="FN365" s="217"/>
      <c r="FO365" s="240"/>
      <c r="FP365" s="217"/>
      <c r="FQ365" s="240"/>
      <c r="FR365" s="217"/>
      <c r="FS365" s="236"/>
      <c r="FT365" s="236"/>
      <c r="FU365" s="236"/>
      <c r="FV365" s="236"/>
      <c r="FW365" s="239"/>
      <c r="FX365" s="236"/>
      <c r="FY365" s="217"/>
      <c r="FZ365" s="240"/>
      <c r="GA365" s="217"/>
      <c r="GB365" s="242"/>
      <c r="GC365" s="217"/>
      <c r="GD365" s="240"/>
      <c r="GE365" s="240"/>
      <c r="GF365" s="240"/>
      <c r="GG365" s="240"/>
      <c r="GH365" s="240"/>
      <c r="GI365" s="217"/>
      <c r="GJ365" s="217"/>
      <c r="GK365" s="239"/>
      <c r="GL365" s="243"/>
    </row>
    <row r="366" ht="15.75" customHeight="1">
      <c r="A366" s="229"/>
      <c r="B366" s="258"/>
      <c r="C366" s="259"/>
      <c r="D366" s="260"/>
      <c r="E366" s="229"/>
      <c r="F366" s="261"/>
      <c r="G366" s="261"/>
      <c r="H366" s="262"/>
      <c r="I366" s="259"/>
      <c r="J366" s="259"/>
      <c r="K366" s="229"/>
      <c r="L366" s="229"/>
      <c r="M366" s="229"/>
      <c r="N366" s="229"/>
      <c r="O366" s="229"/>
      <c r="P366" s="217"/>
      <c r="Q366" s="229"/>
      <c r="R366" s="218"/>
      <c r="S366" s="265"/>
      <c r="T366" s="220"/>
      <c r="U366" s="220"/>
      <c r="V366" s="221"/>
      <c r="W366" s="220"/>
      <c r="X366" s="222"/>
      <c r="Y366" s="222"/>
      <c r="Z366" s="229"/>
      <c r="AA366" s="229"/>
      <c r="AB366" s="229"/>
      <c r="AC366" s="229"/>
      <c r="AD366" s="229"/>
      <c r="AE366" s="229"/>
      <c r="AF366" s="229"/>
      <c r="AG366" s="264"/>
      <c r="AH366" s="224"/>
      <c r="AI366" s="264"/>
      <c r="AJ366" s="224"/>
      <c r="AK366" s="237"/>
      <c r="AL366" s="258"/>
      <c r="AM366" s="258"/>
      <c r="AN366" s="229"/>
      <c r="AO366" s="229"/>
      <c r="AP366" s="229"/>
      <c r="AQ366" s="259"/>
      <c r="AR366" s="259"/>
      <c r="AS366" s="229"/>
      <c r="AT366" s="229"/>
      <c r="AU366" s="229"/>
      <c r="AV366" s="229"/>
      <c r="AW366" s="264"/>
      <c r="AX366" s="264"/>
      <c r="AY366" s="264"/>
      <c r="AZ366" s="264"/>
      <c r="BA366" s="219"/>
      <c r="BB366" s="219"/>
      <c r="BC366" s="229"/>
      <c r="BD366" s="229"/>
      <c r="BE366" s="217"/>
      <c r="BF366" s="229"/>
      <c r="BG366" s="258"/>
      <c r="BH366" s="258"/>
      <c r="BI366" s="229"/>
      <c r="BJ366" s="229"/>
      <c r="BK366" s="229"/>
      <c r="BL366" s="229"/>
      <c r="BM366" s="258"/>
      <c r="BN366" s="258"/>
      <c r="BO366" s="258"/>
      <c r="BP366" s="258"/>
      <c r="BQ366" s="229"/>
      <c r="BR366" s="258"/>
      <c r="BS366" s="258"/>
      <c r="BT366" s="258"/>
      <c r="BU366" s="258"/>
      <c r="BV366" s="229"/>
      <c r="BW366" s="229"/>
      <c r="BX366" s="241"/>
      <c r="BY366" s="241"/>
      <c r="BZ366" s="241"/>
      <c r="CA366" s="217"/>
      <c r="CB366" s="217"/>
      <c r="CC366" s="229"/>
      <c r="CD366" s="217"/>
      <c r="CE366" s="217"/>
      <c r="CF366" s="217"/>
      <c r="CG366" s="217"/>
      <c r="CH366" s="217"/>
      <c r="CI366" s="229"/>
      <c r="CJ366" s="217"/>
      <c r="CK366" s="217"/>
      <c r="CL366" s="217"/>
      <c r="CM366" s="217"/>
      <c r="CN366" s="217"/>
      <c r="CO366" s="229"/>
      <c r="CP366" s="217"/>
      <c r="CQ366" s="217"/>
      <c r="CR366" s="217"/>
      <c r="CS366" s="217"/>
      <c r="CT366" s="217"/>
      <c r="CU366" s="229"/>
      <c r="CV366" s="217"/>
      <c r="CW366" s="217"/>
      <c r="CX366" s="217"/>
      <c r="CY366" s="217"/>
      <c r="CZ366" s="217"/>
      <c r="DA366" s="229"/>
      <c r="DB366" s="217"/>
      <c r="DC366" s="217"/>
      <c r="DD366" s="217"/>
      <c r="DE366" s="217"/>
      <c r="DF366" s="217"/>
      <c r="DG366" s="229"/>
      <c r="DH366" s="217"/>
      <c r="DI366" s="217"/>
      <c r="DJ366" s="217"/>
      <c r="DK366" s="217"/>
      <c r="DL366" s="217"/>
      <c r="DM366" s="229"/>
      <c r="DN366" s="217"/>
      <c r="DO366" s="217"/>
      <c r="DP366" s="217"/>
      <c r="DQ366" s="217"/>
      <c r="DR366" s="217"/>
      <c r="DS366" s="229"/>
      <c r="DT366" s="229"/>
      <c r="DU366" s="229"/>
      <c r="DV366" s="217"/>
      <c r="DW366" s="217"/>
      <c r="DX366" s="230"/>
      <c r="DY366" s="231"/>
      <c r="DZ366" s="231"/>
      <c r="EA366" s="230"/>
      <c r="EB366" s="232"/>
      <c r="EC366" s="217"/>
      <c r="ED366" s="233"/>
      <c r="EE366" s="234"/>
      <c r="EF366" s="235"/>
      <c r="EG366" s="233"/>
      <c r="EH366" s="236"/>
      <c r="EI366" s="217"/>
      <c r="EJ366" s="237"/>
      <c r="EK366" s="217"/>
      <c r="EL366" s="217"/>
      <c r="EM366" s="238"/>
      <c r="EN366" s="236"/>
      <c r="EO366" s="239"/>
      <c r="EP366" s="236"/>
      <c r="EQ366" s="217"/>
      <c r="ER366" s="217"/>
      <c r="ES366" s="236"/>
      <c r="ET366" s="236"/>
      <c r="EU366" s="236"/>
      <c r="EV366" s="239"/>
      <c r="EW366" s="236"/>
      <c r="EX366" s="217"/>
      <c r="EY366" s="240"/>
      <c r="EZ366" s="241"/>
      <c r="FA366" s="240"/>
      <c r="FB366" s="241"/>
      <c r="FC366" s="240"/>
      <c r="FD366" s="217"/>
      <c r="FE366" s="240"/>
      <c r="FF366" s="217"/>
      <c r="FG366" s="217"/>
      <c r="FH366" s="217"/>
      <c r="FI366" s="217"/>
      <c r="FJ366" s="217"/>
      <c r="FK366" s="240"/>
      <c r="FL366" s="217"/>
      <c r="FM366" s="240"/>
      <c r="FN366" s="217"/>
      <c r="FO366" s="240"/>
      <c r="FP366" s="217"/>
      <c r="FQ366" s="240"/>
      <c r="FR366" s="217"/>
      <c r="FS366" s="236"/>
      <c r="FT366" s="236"/>
      <c r="FU366" s="236"/>
      <c r="FV366" s="236"/>
      <c r="FW366" s="239"/>
      <c r="FX366" s="236"/>
      <c r="FY366" s="217"/>
      <c r="FZ366" s="240"/>
      <c r="GA366" s="217"/>
      <c r="GB366" s="242"/>
      <c r="GC366" s="217"/>
      <c r="GD366" s="240"/>
      <c r="GE366" s="240"/>
      <c r="GF366" s="240"/>
      <c r="GG366" s="240"/>
      <c r="GH366" s="240"/>
      <c r="GI366" s="217"/>
      <c r="GJ366" s="217"/>
      <c r="GK366" s="239"/>
      <c r="GL366" s="243"/>
    </row>
    <row r="367" ht="15.75" customHeight="1">
      <c r="A367" s="229"/>
      <c r="B367" s="258"/>
      <c r="C367" s="259"/>
      <c r="D367" s="260"/>
      <c r="E367" s="229"/>
      <c r="F367" s="261"/>
      <c r="G367" s="261"/>
      <c r="H367" s="262"/>
      <c r="I367" s="259"/>
      <c r="J367" s="259"/>
      <c r="K367" s="229"/>
      <c r="L367" s="229"/>
      <c r="M367" s="229"/>
      <c r="N367" s="229"/>
      <c r="O367" s="229"/>
      <c r="P367" s="217"/>
      <c r="Q367" s="229"/>
      <c r="R367" s="218"/>
      <c r="S367" s="265"/>
      <c r="T367" s="220"/>
      <c r="U367" s="220"/>
      <c r="V367" s="221"/>
      <c r="W367" s="220"/>
      <c r="X367" s="222"/>
      <c r="Y367" s="222"/>
      <c r="Z367" s="229"/>
      <c r="AA367" s="229"/>
      <c r="AB367" s="229"/>
      <c r="AC367" s="229"/>
      <c r="AD367" s="229"/>
      <c r="AE367" s="229"/>
      <c r="AF367" s="229"/>
      <c r="AG367" s="264"/>
      <c r="AH367" s="224"/>
      <c r="AI367" s="264"/>
      <c r="AJ367" s="224"/>
      <c r="AK367" s="237"/>
      <c r="AL367" s="258"/>
      <c r="AM367" s="258"/>
      <c r="AN367" s="229"/>
      <c r="AO367" s="229"/>
      <c r="AP367" s="229"/>
      <c r="AQ367" s="259"/>
      <c r="AR367" s="259"/>
      <c r="AS367" s="229"/>
      <c r="AT367" s="229"/>
      <c r="AU367" s="229"/>
      <c r="AV367" s="229"/>
      <c r="AW367" s="264"/>
      <c r="AX367" s="264"/>
      <c r="AY367" s="264"/>
      <c r="AZ367" s="264"/>
      <c r="BA367" s="219"/>
      <c r="BB367" s="219"/>
      <c r="BC367" s="229"/>
      <c r="BD367" s="229"/>
      <c r="BE367" s="217"/>
      <c r="BF367" s="229"/>
      <c r="BG367" s="258"/>
      <c r="BH367" s="258"/>
      <c r="BI367" s="229"/>
      <c r="BJ367" s="229"/>
      <c r="BK367" s="229"/>
      <c r="BL367" s="229"/>
      <c r="BM367" s="258"/>
      <c r="BN367" s="258"/>
      <c r="BO367" s="258"/>
      <c r="BP367" s="258"/>
      <c r="BQ367" s="229"/>
      <c r="BR367" s="258"/>
      <c r="BS367" s="258"/>
      <c r="BT367" s="258"/>
      <c r="BU367" s="258"/>
      <c r="BV367" s="229"/>
      <c r="BW367" s="229"/>
      <c r="BX367" s="241"/>
      <c r="BY367" s="241"/>
      <c r="BZ367" s="241"/>
      <c r="CA367" s="217"/>
      <c r="CB367" s="217"/>
      <c r="CC367" s="229"/>
      <c r="CD367" s="217"/>
      <c r="CE367" s="217"/>
      <c r="CF367" s="217"/>
      <c r="CG367" s="217"/>
      <c r="CH367" s="217"/>
      <c r="CI367" s="229"/>
      <c r="CJ367" s="217"/>
      <c r="CK367" s="217"/>
      <c r="CL367" s="217"/>
      <c r="CM367" s="217"/>
      <c r="CN367" s="217"/>
      <c r="CO367" s="229"/>
      <c r="CP367" s="217"/>
      <c r="CQ367" s="217"/>
      <c r="CR367" s="217"/>
      <c r="CS367" s="217"/>
      <c r="CT367" s="217"/>
      <c r="CU367" s="229"/>
      <c r="CV367" s="217"/>
      <c r="CW367" s="217"/>
      <c r="CX367" s="217"/>
      <c r="CY367" s="217"/>
      <c r="CZ367" s="217"/>
      <c r="DA367" s="229"/>
      <c r="DB367" s="217"/>
      <c r="DC367" s="217"/>
      <c r="DD367" s="217"/>
      <c r="DE367" s="217"/>
      <c r="DF367" s="217"/>
      <c r="DG367" s="229"/>
      <c r="DH367" s="217"/>
      <c r="DI367" s="217"/>
      <c r="DJ367" s="217"/>
      <c r="DK367" s="217"/>
      <c r="DL367" s="217"/>
      <c r="DM367" s="229"/>
      <c r="DN367" s="217"/>
      <c r="DO367" s="217"/>
      <c r="DP367" s="217"/>
      <c r="DQ367" s="217"/>
      <c r="DR367" s="217"/>
      <c r="DS367" s="229"/>
      <c r="DT367" s="229"/>
      <c r="DU367" s="229"/>
      <c r="DV367" s="217"/>
      <c r="DW367" s="217"/>
      <c r="DX367" s="230"/>
      <c r="DY367" s="231"/>
      <c r="DZ367" s="231"/>
      <c r="EA367" s="230"/>
      <c r="EB367" s="232"/>
      <c r="EC367" s="217"/>
      <c r="ED367" s="233"/>
      <c r="EE367" s="234"/>
      <c r="EF367" s="235"/>
      <c r="EG367" s="233"/>
      <c r="EH367" s="236"/>
      <c r="EI367" s="217"/>
      <c r="EJ367" s="237"/>
      <c r="EK367" s="217"/>
      <c r="EL367" s="217"/>
      <c r="EM367" s="238"/>
      <c r="EN367" s="236"/>
      <c r="EO367" s="239"/>
      <c r="EP367" s="236"/>
      <c r="EQ367" s="217"/>
      <c r="ER367" s="217"/>
      <c r="ES367" s="236"/>
      <c r="ET367" s="236"/>
      <c r="EU367" s="236"/>
      <c r="EV367" s="239"/>
      <c r="EW367" s="236"/>
      <c r="EX367" s="217"/>
      <c r="EY367" s="240"/>
      <c r="EZ367" s="241"/>
      <c r="FA367" s="240"/>
      <c r="FB367" s="241"/>
      <c r="FC367" s="240"/>
      <c r="FD367" s="217"/>
      <c r="FE367" s="240"/>
      <c r="FF367" s="217"/>
      <c r="FG367" s="217"/>
      <c r="FH367" s="217"/>
      <c r="FI367" s="217"/>
      <c r="FJ367" s="217"/>
      <c r="FK367" s="240"/>
      <c r="FL367" s="217"/>
      <c r="FM367" s="240"/>
      <c r="FN367" s="217"/>
      <c r="FO367" s="240"/>
      <c r="FP367" s="217"/>
      <c r="FQ367" s="240"/>
      <c r="FR367" s="217"/>
      <c r="FS367" s="236"/>
      <c r="FT367" s="236"/>
      <c r="FU367" s="236"/>
      <c r="FV367" s="236"/>
      <c r="FW367" s="239"/>
      <c r="FX367" s="236"/>
      <c r="FY367" s="217"/>
      <c r="FZ367" s="240"/>
      <c r="GA367" s="217"/>
      <c r="GB367" s="242"/>
      <c r="GC367" s="217"/>
      <c r="GD367" s="240"/>
      <c r="GE367" s="240"/>
      <c r="GF367" s="240"/>
      <c r="GG367" s="240"/>
      <c r="GH367" s="240"/>
      <c r="GI367" s="217"/>
      <c r="GJ367" s="217"/>
      <c r="GK367" s="239"/>
      <c r="GL367" s="243"/>
    </row>
    <row r="368" ht="15.75" customHeight="1">
      <c r="A368" s="229"/>
      <c r="B368" s="258"/>
      <c r="C368" s="259"/>
      <c r="D368" s="260"/>
      <c r="E368" s="229"/>
      <c r="F368" s="261"/>
      <c r="G368" s="261"/>
      <c r="H368" s="262"/>
      <c r="I368" s="259"/>
      <c r="J368" s="259"/>
      <c r="K368" s="229"/>
      <c r="L368" s="229"/>
      <c r="M368" s="229"/>
      <c r="N368" s="229"/>
      <c r="O368" s="229"/>
      <c r="P368" s="217"/>
      <c r="Q368" s="229"/>
      <c r="R368" s="218"/>
      <c r="S368" s="265"/>
      <c r="T368" s="220"/>
      <c r="U368" s="220"/>
      <c r="V368" s="221"/>
      <c r="W368" s="220"/>
      <c r="X368" s="222"/>
      <c r="Y368" s="222"/>
      <c r="Z368" s="229"/>
      <c r="AA368" s="229"/>
      <c r="AB368" s="229"/>
      <c r="AC368" s="229"/>
      <c r="AD368" s="229"/>
      <c r="AE368" s="229"/>
      <c r="AF368" s="229"/>
      <c r="AG368" s="264"/>
      <c r="AH368" s="224"/>
      <c r="AI368" s="264"/>
      <c r="AJ368" s="224"/>
      <c r="AK368" s="237"/>
      <c r="AL368" s="258"/>
      <c r="AM368" s="258"/>
      <c r="AN368" s="229"/>
      <c r="AO368" s="229"/>
      <c r="AP368" s="229"/>
      <c r="AQ368" s="259"/>
      <c r="AR368" s="259"/>
      <c r="AS368" s="229"/>
      <c r="AT368" s="229"/>
      <c r="AU368" s="229"/>
      <c r="AV368" s="229"/>
      <c r="AW368" s="264"/>
      <c r="AX368" s="264"/>
      <c r="AY368" s="264"/>
      <c r="AZ368" s="264"/>
      <c r="BA368" s="219"/>
      <c r="BB368" s="219"/>
      <c r="BC368" s="229"/>
      <c r="BD368" s="229"/>
      <c r="BE368" s="217"/>
      <c r="BF368" s="229"/>
      <c r="BG368" s="258"/>
      <c r="BH368" s="258"/>
      <c r="BI368" s="229"/>
      <c r="BJ368" s="229"/>
      <c r="BK368" s="229"/>
      <c r="BL368" s="229"/>
      <c r="BM368" s="258"/>
      <c r="BN368" s="258"/>
      <c r="BO368" s="258"/>
      <c r="BP368" s="258"/>
      <c r="BQ368" s="229"/>
      <c r="BR368" s="258"/>
      <c r="BS368" s="258"/>
      <c r="BT368" s="258"/>
      <c r="BU368" s="258"/>
      <c r="BV368" s="229"/>
      <c r="BW368" s="229"/>
      <c r="BX368" s="241"/>
      <c r="BY368" s="241"/>
      <c r="BZ368" s="241"/>
      <c r="CA368" s="217"/>
      <c r="CB368" s="217"/>
      <c r="CC368" s="229"/>
      <c r="CD368" s="217"/>
      <c r="CE368" s="217"/>
      <c r="CF368" s="217"/>
      <c r="CG368" s="217"/>
      <c r="CH368" s="217"/>
      <c r="CI368" s="229"/>
      <c r="CJ368" s="217"/>
      <c r="CK368" s="217"/>
      <c r="CL368" s="217"/>
      <c r="CM368" s="217"/>
      <c r="CN368" s="217"/>
      <c r="CO368" s="229"/>
      <c r="CP368" s="217"/>
      <c r="CQ368" s="217"/>
      <c r="CR368" s="217"/>
      <c r="CS368" s="217"/>
      <c r="CT368" s="217"/>
      <c r="CU368" s="229"/>
      <c r="CV368" s="217"/>
      <c r="CW368" s="217"/>
      <c r="CX368" s="217"/>
      <c r="CY368" s="217"/>
      <c r="CZ368" s="217"/>
      <c r="DA368" s="229"/>
      <c r="DB368" s="217"/>
      <c r="DC368" s="217"/>
      <c r="DD368" s="217"/>
      <c r="DE368" s="217"/>
      <c r="DF368" s="217"/>
      <c r="DG368" s="229"/>
      <c r="DH368" s="217"/>
      <c r="DI368" s="217"/>
      <c r="DJ368" s="217"/>
      <c r="DK368" s="217"/>
      <c r="DL368" s="217"/>
      <c r="DM368" s="229"/>
      <c r="DN368" s="217"/>
      <c r="DO368" s="217"/>
      <c r="DP368" s="217"/>
      <c r="DQ368" s="217"/>
      <c r="DR368" s="217"/>
      <c r="DS368" s="229"/>
      <c r="DT368" s="229"/>
      <c r="DU368" s="229"/>
      <c r="DV368" s="217"/>
      <c r="DW368" s="217"/>
      <c r="DX368" s="230"/>
      <c r="DY368" s="231"/>
      <c r="DZ368" s="231"/>
      <c r="EA368" s="230"/>
      <c r="EB368" s="232"/>
      <c r="EC368" s="217"/>
      <c r="ED368" s="233"/>
      <c r="EE368" s="234"/>
      <c r="EF368" s="235"/>
      <c r="EG368" s="233"/>
      <c r="EH368" s="236"/>
      <c r="EI368" s="217"/>
      <c r="EJ368" s="237"/>
      <c r="EK368" s="217"/>
      <c r="EL368" s="217"/>
      <c r="EM368" s="238"/>
      <c r="EN368" s="236"/>
      <c r="EO368" s="239"/>
      <c r="EP368" s="236"/>
      <c r="EQ368" s="217"/>
      <c r="ER368" s="217"/>
      <c r="ES368" s="236"/>
      <c r="ET368" s="236"/>
      <c r="EU368" s="236"/>
      <c r="EV368" s="239"/>
      <c r="EW368" s="236"/>
      <c r="EX368" s="217"/>
      <c r="EY368" s="240"/>
      <c r="EZ368" s="241"/>
      <c r="FA368" s="240"/>
      <c r="FB368" s="241"/>
      <c r="FC368" s="240"/>
      <c r="FD368" s="217"/>
      <c r="FE368" s="240"/>
      <c r="FF368" s="217"/>
      <c r="FG368" s="217"/>
      <c r="FH368" s="217"/>
      <c r="FI368" s="217"/>
      <c r="FJ368" s="217"/>
      <c r="FK368" s="240"/>
      <c r="FL368" s="217"/>
      <c r="FM368" s="240"/>
      <c r="FN368" s="217"/>
      <c r="FO368" s="240"/>
      <c r="FP368" s="217"/>
      <c r="FQ368" s="240"/>
      <c r="FR368" s="217"/>
      <c r="FS368" s="236"/>
      <c r="FT368" s="236"/>
      <c r="FU368" s="236"/>
      <c r="FV368" s="236"/>
      <c r="FW368" s="239"/>
      <c r="FX368" s="236"/>
      <c r="FY368" s="217"/>
      <c r="FZ368" s="240"/>
      <c r="GA368" s="217"/>
      <c r="GB368" s="242"/>
      <c r="GC368" s="217"/>
      <c r="GD368" s="240"/>
      <c r="GE368" s="240"/>
      <c r="GF368" s="240"/>
      <c r="GG368" s="240"/>
      <c r="GH368" s="240"/>
      <c r="GI368" s="217"/>
      <c r="GJ368" s="217"/>
      <c r="GK368" s="239"/>
      <c r="GL368" s="243"/>
    </row>
    <row r="369" ht="15.75" customHeight="1">
      <c r="A369" s="229"/>
      <c r="B369" s="258"/>
      <c r="C369" s="259"/>
      <c r="D369" s="260"/>
      <c r="E369" s="229"/>
      <c r="F369" s="261"/>
      <c r="G369" s="261"/>
      <c r="H369" s="262"/>
      <c r="I369" s="259"/>
      <c r="J369" s="259"/>
      <c r="K369" s="229"/>
      <c r="L369" s="229"/>
      <c r="M369" s="229"/>
      <c r="N369" s="229"/>
      <c r="O369" s="229"/>
      <c r="P369" s="217"/>
      <c r="Q369" s="229"/>
      <c r="R369" s="218"/>
      <c r="S369" s="265"/>
      <c r="T369" s="220"/>
      <c r="U369" s="220"/>
      <c r="V369" s="221"/>
      <c r="W369" s="220"/>
      <c r="X369" s="222"/>
      <c r="Y369" s="222"/>
      <c r="Z369" s="229"/>
      <c r="AA369" s="229"/>
      <c r="AB369" s="229"/>
      <c r="AC369" s="229"/>
      <c r="AD369" s="229"/>
      <c r="AE369" s="229"/>
      <c r="AF369" s="229"/>
      <c r="AG369" s="264"/>
      <c r="AH369" s="224"/>
      <c r="AI369" s="264"/>
      <c r="AJ369" s="224"/>
      <c r="AK369" s="237"/>
      <c r="AL369" s="258"/>
      <c r="AM369" s="258"/>
      <c r="AN369" s="229"/>
      <c r="AO369" s="229"/>
      <c r="AP369" s="229"/>
      <c r="AQ369" s="259"/>
      <c r="AR369" s="259"/>
      <c r="AS369" s="229"/>
      <c r="AT369" s="229"/>
      <c r="AU369" s="229"/>
      <c r="AV369" s="229"/>
      <c r="AW369" s="264"/>
      <c r="AX369" s="264"/>
      <c r="AY369" s="264"/>
      <c r="AZ369" s="264"/>
      <c r="BA369" s="219"/>
      <c r="BB369" s="219"/>
      <c r="BC369" s="229"/>
      <c r="BD369" s="229"/>
      <c r="BE369" s="217"/>
      <c r="BF369" s="229"/>
      <c r="BG369" s="258"/>
      <c r="BH369" s="258"/>
      <c r="BI369" s="229"/>
      <c r="BJ369" s="229"/>
      <c r="BK369" s="229"/>
      <c r="BL369" s="229"/>
      <c r="BM369" s="258"/>
      <c r="BN369" s="258"/>
      <c r="BO369" s="258"/>
      <c r="BP369" s="258"/>
      <c r="BQ369" s="229"/>
      <c r="BR369" s="258"/>
      <c r="BS369" s="258"/>
      <c r="BT369" s="258"/>
      <c r="BU369" s="258"/>
      <c r="BV369" s="229"/>
      <c r="BW369" s="229"/>
      <c r="BX369" s="241"/>
      <c r="BY369" s="241"/>
      <c r="BZ369" s="241"/>
      <c r="CA369" s="217"/>
      <c r="CB369" s="217"/>
      <c r="CC369" s="229"/>
      <c r="CD369" s="217"/>
      <c r="CE369" s="217"/>
      <c r="CF369" s="217"/>
      <c r="CG369" s="217"/>
      <c r="CH369" s="217"/>
      <c r="CI369" s="229"/>
      <c r="CJ369" s="217"/>
      <c r="CK369" s="217"/>
      <c r="CL369" s="217"/>
      <c r="CM369" s="217"/>
      <c r="CN369" s="217"/>
      <c r="CO369" s="229"/>
      <c r="CP369" s="217"/>
      <c r="CQ369" s="217"/>
      <c r="CR369" s="217"/>
      <c r="CS369" s="217"/>
      <c r="CT369" s="217"/>
      <c r="CU369" s="229"/>
      <c r="CV369" s="217"/>
      <c r="CW369" s="217"/>
      <c r="CX369" s="217"/>
      <c r="CY369" s="217"/>
      <c r="CZ369" s="217"/>
      <c r="DA369" s="229"/>
      <c r="DB369" s="217"/>
      <c r="DC369" s="217"/>
      <c r="DD369" s="217"/>
      <c r="DE369" s="217"/>
      <c r="DF369" s="217"/>
      <c r="DG369" s="229"/>
      <c r="DH369" s="217"/>
      <c r="DI369" s="217"/>
      <c r="DJ369" s="217"/>
      <c r="DK369" s="217"/>
      <c r="DL369" s="217"/>
      <c r="DM369" s="229"/>
      <c r="DN369" s="217"/>
      <c r="DO369" s="217"/>
      <c r="DP369" s="217"/>
      <c r="DQ369" s="217"/>
      <c r="DR369" s="217"/>
      <c r="DS369" s="229"/>
      <c r="DT369" s="229"/>
      <c r="DU369" s="229"/>
      <c r="DV369" s="217"/>
      <c r="DW369" s="217"/>
      <c r="DX369" s="230"/>
      <c r="DY369" s="231"/>
      <c r="DZ369" s="231"/>
      <c r="EA369" s="230"/>
      <c r="EB369" s="232"/>
      <c r="EC369" s="217"/>
      <c r="ED369" s="233"/>
      <c r="EE369" s="234"/>
      <c r="EF369" s="235"/>
      <c r="EG369" s="233"/>
      <c r="EH369" s="236"/>
      <c r="EI369" s="217"/>
      <c r="EJ369" s="237"/>
      <c r="EK369" s="217"/>
      <c r="EL369" s="217"/>
      <c r="EM369" s="238"/>
      <c r="EN369" s="236"/>
      <c r="EO369" s="239"/>
      <c r="EP369" s="236"/>
      <c r="EQ369" s="217"/>
      <c r="ER369" s="217"/>
      <c r="ES369" s="236"/>
      <c r="ET369" s="236"/>
      <c r="EU369" s="236"/>
      <c r="EV369" s="239"/>
      <c r="EW369" s="236"/>
      <c r="EX369" s="217"/>
      <c r="EY369" s="240"/>
      <c r="EZ369" s="241"/>
      <c r="FA369" s="240"/>
      <c r="FB369" s="241"/>
      <c r="FC369" s="240"/>
      <c r="FD369" s="217"/>
      <c r="FE369" s="240"/>
      <c r="FF369" s="217"/>
      <c r="FG369" s="217"/>
      <c r="FH369" s="217"/>
      <c r="FI369" s="217"/>
      <c r="FJ369" s="217"/>
      <c r="FK369" s="240"/>
      <c r="FL369" s="217"/>
      <c r="FM369" s="240"/>
      <c r="FN369" s="217"/>
      <c r="FO369" s="240"/>
      <c r="FP369" s="217"/>
      <c r="FQ369" s="240"/>
      <c r="FR369" s="217"/>
      <c r="FS369" s="236"/>
      <c r="FT369" s="236"/>
      <c r="FU369" s="236"/>
      <c r="FV369" s="236"/>
      <c r="FW369" s="239"/>
      <c r="FX369" s="236"/>
      <c r="FY369" s="217"/>
      <c r="FZ369" s="240"/>
      <c r="GA369" s="217"/>
      <c r="GB369" s="242"/>
      <c r="GC369" s="217"/>
      <c r="GD369" s="240"/>
      <c r="GE369" s="240"/>
      <c r="GF369" s="240"/>
      <c r="GG369" s="240"/>
      <c r="GH369" s="240"/>
      <c r="GI369" s="217"/>
      <c r="GJ369" s="217"/>
      <c r="GK369" s="239"/>
      <c r="GL369" s="243"/>
    </row>
    <row r="370" ht="15.75" customHeight="1">
      <c r="A370" s="229"/>
      <c r="B370" s="258"/>
      <c r="C370" s="259"/>
      <c r="D370" s="260"/>
      <c r="E370" s="229"/>
      <c r="F370" s="261"/>
      <c r="G370" s="261"/>
      <c r="H370" s="262"/>
      <c r="I370" s="259"/>
      <c r="J370" s="259"/>
      <c r="K370" s="229"/>
      <c r="L370" s="229"/>
      <c r="M370" s="229"/>
      <c r="N370" s="229"/>
      <c r="O370" s="229"/>
      <c r="P370" s="217"/>
      <c r="Q370" s="229"/>
      <c r="R370" s="218"/>
      <c r="S370" s="265"/>
      <c r="T370" s="220"/>
      <c r="U370" s="220"/>
      <c r="V370" s="221"/>
      <c r="W370" s="220"/>
      <c r="X370" s="222"/>
      <c r="Y370" s="222"/>
      <c r="Z370" s="229"/>
      <c r="AA370" s="229"/>
      <c r="AB370" s="229"/>
      <c r="AC370" s="229"/>
      <c r="AD370" s="229"/>
      <c r="AE370" s="229"/>
      <c r="AF370" s="229"/>
      <c r="AG370" s="264"/>
      <c r="AH370" s="224"/>
      <c r="AI370" s="264"/>
      <c r="AJ370" s="224"/>
      <c r="AK370" s="237"/>
      <c r="AL370" s="258"/>
      <c r="AM370" s="258"/>
      <c r="AN370" s="229"/>
      <c r="AO370" s="229"/>
      <c r="AP370" s="229"/>
      <c r="AQ370" s="259"/>
      <c r="AR370" s="259"/>
      <c r="AS370" s="229"/>
      <c r="AT370" s="229"/>
      <c r="AU370" s="229"/>
      <c r="AV370" s="229"/>
      <c r="AW370" s="264"/>
      <c r="AX370" s="264"/>
      <c r="AY370" s="264"/>
      <c r="AZ370" s="264"/>
      <c r="BA370" s="219"/>
      <c r="BB370" s="219"/>
      <c r="BC370" s="229"/>
      <c r="BD370" s="229"/>
      <c r="BE370" s="217"/>
      <c r="BF370" s="229"/>
      <c r="BG370" s="258"/>
      <c r="BH370" s="258"/>
      <c r="BI370" s="229"/>
      <c r="BJ370" s="229"/>
      <c r="BK370" s="229"/>
      <c r="BL370" s="229"/>
      <c r="BM370" s="258"/>
      <c r="BN370" s="258"/>
      <c r="BO370" s="258"/>
      <c r="BP370" s="258"/>
      <c r="BQ370" s="229"/>
      <c r="BR370" s="258"/>
      <c r="BS370" s="258"/>
      <c r="BT370" s="258"/>
      <c r="BU370" s="258"/>
      <c r="BV370" s="229"/>
      <c r="BW370" s="229"/>
      <c r="BX370" s="241"/>
      <c r="BY370" s="241"/>
      <c r="BZ370" s="241"/>
      <c r="CA370" s="217"/>
      <c r="CB370" s="217"/>
      <c r="CC370" s="229"/>
      <c r="CD370" s="217"/>
      <c r="CE370" s="217"/>
      <c r="CF370" s="217"/>
      <c r="CG370" s="217"/>
      <c r="CH370" s="217"/>
      <c r="CI370" s="229"/>
      <c r="CJ370" s="217"/>
      <c r="CK370" s="217"/>
      <c r="CL370" s="217"/>
      <c r="CM370" s="217"/>
      <c r="CN370" s="217"/>
      <c r="CO370" s="229"/>
      <c r="CP370" s="217"/>
      <c r="CQ370" s="217"/>
      <c r="CR370" s="217"/>
      <c r="CS370" s="217"/>
      <c r="CT370" s="217"/>
      <c r="CU370" s="229"/>
      <c r="CV370" s="217"/>
      <c r="CW370" s="217"/>
      <c r="CX370" s="217"/>
      <c r="CY370" s="217"/>
      <c r="CZ370" s="217"/>
      <c r="DA370" s="229"/>
      <c r="DB370" s="217"/>
      <c r="DC370" s="217"/>
      <c r="DD370" s="217"/>
      <c r="DE370" s="217"/>
      <c r="DF370" s="217"/>
      <c r="DG370" s="229"/>
      <c r="DH370" s="217"/>
      <c r="DI370" s="217"/>
      <c r="DJ370" s="217"/>
      <c r="DK370" s="217"/>
      <c r="DL370" s="217"/>
      <c r="DM370" s="229"/>
      <c r="DN370" s="217"/>
      <c r="DO370" s="217"/>
      <c r="DP370" s="217"/>
      <c r="DQ370" s="217"/>
      <c r="DR370" s="217"/>
      <c r="DS370" s="229"/>
      <c r="DT370" s="229"/>
      <c r="DU370" s="229"/>
      <c r="DV370" s="217"/>
      <c r="DW370" s="217"/>
      <c r="DX370" s="230"/>
      <c r="DY370" s="231"/>
      <c r="DZ370" s="231"/>
      <c r="EA370" s="230"/>
      <c r="EB370" s="232"/>
      <c r="EC370" s="217"/>
      <c r="ED370" s="233"/>
      <c r="EE370" s="234"/>
      <c r="EF370" s="235"/>
      <c r="EG370" s="233"/>
      <c r="EH370" s="236"/>
      <c r="EI370" s="217"/>
      <c r="EJ370" s="237"/>
      <c r="EK370" s="217"/>
      <c r="EL370" s="217"/>
      <c r="EM370" s="238"/>
      <c r="EN370" s="236"/>
      <c r="EO370" s="239"/>
      <c r="EP370" s="236"/>
      <c r="EQ370" s="217"/>
      <c r="ER370" s="217"/>
      <c r="ES370" s="236"/>
      <c r="ET370" s="236"/>
      <c r="EU370" s="236"/>
      <c r="EV370" s="239"/>
      <c r="EW370" s="236"/>
      <c r="EX370" s="217"/>
      <c r="EY370" s="240"/>
      <c r="EZ370" s="241"/>
      <c r="FA370" s="240"/>
      <c r="FB370" s="241"/>
      <c r="FC370" s="240"/>
      <c r="FD370" s="217"/>
      <c r="FE370" s="240"/>
      <c r="FF370" s="217"/>
      <c r="FG370" s="217"/>
      <c r="FH370" s="217"/>
      <c r="FI370" s="217"/>
      <c r="FJ370" s="217"/>
      <c r="FK370" s="240"/>
      <c r="FL370" s="217"/>
      <c r="FM370" s="240"/>
      <c r="FN370" s="217"/>
      <c r="FO370" s="240"/>
      <c r="FP370" s="217"/>
      <c r="FQ370" s="240"/>
      <c r="FR370" s="217"/>
      <c r="FS370" s="236"/>
      <c r="FT370" s="236"/>
      <c r="FU370" s="236"/>
      <c r="FV370" s="236"/>
      <c r="FW370" s="239"/>
      <c r="FX370" s="236"/>
      <c r="FY370" s="217"/>
      <c r="FZ370" s="240"/>
      <c r="GA370" s="217"/>
      <c r="GB370" s="242"/>
      <c r="GC370" s="217"/>
      <c r="GD370" s="240"/>
      <c r="GE370" s="240"/>
      <c r="GF370" s="240"/>
      <c r="GG370" s="240"/>
      <c r="GH370" s="240"/>
      <c r="GI370" s="217"/>
      <c r="GJ370" s="217"/>
      <c r="GK370" s="239"/>
      <c r="GL370" s="243"/>
    </row>
    <row r="371" ht="15.75" customHeight="1">
      <c r="A371" s="229"/>
      <c r="B371" s="258"/>
      <c r="C371" s="259"/>
      <c r="D371" s="260"/>
      <c r="E371" s="229"/>
      <c r="F371" s="261"/>
      <c r="G371" s="261"/>
      <c r="H371" s="262"/>
      <c r="I371" s="259"/>
      <c r="J371" s="259"/>
      <c r="K371" s="229"/>
      <c r="L371" s="229"/>
      <c r="M371" s="229"/>
      <c r="N371" s="229"/>
      <c r="O371" s="229"/>
      <c r="P371" s="217"/>
      <c r="Q371" s="229"/>
      <c r="R371" s="218"/>
      <c r="S371" s="265"/>
      <c r="T371" s="220"/>
      <c r="U371" s="220"/>
      <c r="V371" s="221"/>
      <c r="W371" s="220"/>
      <c r="X371" s="222"/>
      <c r="Y371" s="222"/>
      <c r="Z371" s="229"/>
      <c r="AA371" s="229"/>
      <c r="AB371" s="229"/>
      <c r="AC371" s="229"/>
      <c r="AD371" s="229"/>
      <c r="AE371" s="229"/>
      <c r="AF371" s="229"/>
      <c r="AG371" s="264"/>
      <c r="AH371" s="224"/>
      <c r="AI371" s="264"/>
      <c r="AJ371" s="224"/>
      <c r="AK371" s="237"/>
      <c r="AL371" s="258"/>
      <c r="AM371" s="258"/>
      <c r="AN371" s="229"/>
      <c r="AO371" s="229"/>
      <c r="AP371" s="229"/>
      <c r="AQ371" s="259"/>
      <c r="AR371" s="259"/>
      <c r="AS371" s="229"/>
      <c r="AT371" s="229"/>
      <c r="AU371" s="229"/>
      <c r="AV371" s="229"/>
      <c r="AW371" s="264"/>
      <c r="AX371" s="264"/>
      <c r="AY371" s="264"/>
      <c r="AZ371" s="264"/>
      <c r="BA371" s="219"/>
      <c r="BB371" s="219"/>
      <c r="BC371" s="229"/>
      <c r="BD371" s="229"/>
      <c r="BE371" s="217"/>
      <c r="BF371" s="229"/>
      <c r="BG371" s="258"/>
      <c r="BH371" s="258"/>
      <c r="BI371" s="229"/>
      <c r="BJ371" s="229"/>
      <c r="BK371" s="229"/>
      <c r="BL371" s="229"/>
      <c r="BM371" s="258"/>
      <c r="BN371" s="258"/>
      <c r="BO371" s="258"/>
      <c r="BP371" s="258"/>
      <c r="BQ371" s="229"/>
      <c r="BR371" s="258"/>
      <c r="BS371" s="258"/>
      <c r="BT371" s="258"/>
      <c r="BU371" s="258"/>
      <c r="BV371" s="229"/>
      <c r="BW371" s="229"/>
      <c r="BX371" s="241"/>
      <c r="BY371" s="241"/>
      <c r="BZ371" s="241"/>
      <c r="CA371" s="217"/>
      <c r="CB371" s="217"/>
      <c r="CC371" s="229"/>
      <c r="CD371" s="217"/>
      <c r="CE371" s="217"/>
      <c r="CF371" s="217"/>
      <c r="CG371" s="217"/>
      <c r="CH371" s="217"/>
      <c r="CI371" s="229"/>
      <c r="CJ371" s="217"/>
      <c r="CK371" s="217"/>
      <c r="CL371" s="217"/>
      <c r="CM371" s="217"/>
      <c r="CN371" s="217"/>
      <c r="CO371" s="229"/>
      <c r="CP371" s="217"/>
      <c r="CQ371" s="217"/>
      <c r="CR371" s="217"/>
      <c r="CS371" s="217"/>
      <c r="CT371" s="217"/>
      <c r="CU371" s="229"/>
      <c r="CV371" s="217"/>
      <c r="CW371" s="217"/>
      <c r="CX371" s="217"/>
      <c r="CY371" s="217"/>
      <c r="CZ371" s="217"/>
      <c r="DA371" s="229"/>
      <c r="DB371" s="217"/>
      <c r="DC371" s="217"/>
      <c r="DD371" s="217"/>
      <c r="DE371" s="217"/>
      <c r="DF371" s="217"/>
      <c r="DG371" s="229"/>
      <c r="DH371" s="217"/>
      <c r="DI371" s="217"/>
      <c r="DJ371" s="217"/>
      <c r="DK371" s="217"/>
      <c r="DL371" s="217"/>
      <c r="DM371" s="229"/>
      <c r="DN371" s="217"/>
      <c r="DO371" s="217"/>
      <c r="DP371" s="217"/>
      <c r="DQ371" s="217"/>
      <c r="DR371" s="217"/>
      <c r="DS371" s="229"/>
      <c r="DT371" s="229"/>
      <c r="DU371" s="229"/>
      <c r="DV371" s="217"/>
      <c r="DW371" s="217"/>
      <c r="DX371" s="230"/>
      <c r="DY371" s="231"/>
      <c r="DZ371" s="231"/>
      <c r="EA371" s="230"/>
      <c r="EB371" s="232"/>
      <c r="EC371" s="217"/>
      <c r="ED371" s="233"/>
      <c r="EE371" s="234"/>
      <c r="EF371" s="235"/>
      <c r="EG371" s="233"/>
      <c r="EH371" s="236"/>
      <c r="EI371" s="217"/>
      <c r="EJ371" s="237"/>
      <c r="EK371" s="217"/>
      <c r="EL371" s="217"/>
      <c r="EM371" s="238"/>
      <c r="EN371" s="236"/>
      <c r="EO371" s="239"/>
      <c r="EP371" s="236"/>
      <c r="EQ371" s="217"/>
      <c r="ER371" s="217"/>
      <c r="ES371" s="236"/>
      <c r="ET371" s="236"/>
      <c r="EU371" s="236"/>
      <c r="EV371" s="239"/>
      <c r="EW371" s="236"/>
      <c r="EX371" s="217"/>
      <c r="EY371" s="240"/>
      <c r="EZ371" s="241"/>
      <c r="FA371" s="240"/>
      <c r="FB371" s="241"/>
      <c r="FC371" s="240"/>
      <c r="FD371" s="217"/>
      <c r="FE371" s="240"/>
      <c r="FF371" s="217"/>
      <c r="FG371" s="217"/>
      <c r="FH371" s="217"/>
      <c r="FI371" s="217"/>
      <c r="FJ371" s="217"/>
      <c r="FK371" s="240"/>
      <c r="FL371" s="217"/>
      <c r="FM371" s="240"/>
      <c r="FN371" s="217"/>
      <c r="FO371" s="240"/>
      <c r="FP371" s="217"/>
      <c r="FQ371" s="240"/>
      <c r="FR371" s="217"/>
      <c r="FS371" s="236"/>
      <c r="FT371" s="236"/>
      <c r="FU371" s="236"/>
      <c r="FV371" s="236"/>
      <c r="FW371" s="239"/>
      <c r="FX371" s="236"/>
      <c r="FY371" s="217"/>
      <c r="FZ371" s="240"/>
      <c r="GA371" s="217"/>
      <c r="GB371" s="242"/>
      <c r="GC371" s="217"/>
      <c r="GD371" s="240"/>
      <c r="GE371" s="240"/>
      <c r="GF371" s="240"/>
      <c r="GG371" s="240"/>
      <c r="GH371" s="240"/>
      <c r="GI371" s="217"/>
      <c r="GJ371" s="217"/>
      <c r="GK371" s="239"/>
      <c r="GL371" s="243"/>
    </row>
    <row r="372" ht="15.75" customHeight="1">
      <c r="A372" s="229"/>
      <c r="B372" s="258"/>
      <c r="C372" s="259"/>
      <c r="D372" s="260"/>
      <c r="E372" s="229"/>
      <c r="F372" s="261"/>
      <c r="G372" s="261"/>
      <c r="H372" s="262"/>
      <c r="I372" s="259"/>
      <c r="J372" s="259"/>
      <c r="K372" s="229"/>
      <c r="L372" s="229"/>
      <c r="M372" s="229"/>
      <c r="N372" s="229"/>
      <c r="O372" s="229"/>
      <c r="P372" s="217"/>
      <c r="Q372" s="229"/>
      <c r="R372" s="218"/>
      <c r="S372" s="265"/>
      <c r="T372" s="220"/>
      <c r="U372" s="220"/>
      <c r="V372" s="221"/>
      <c r="W372" s="220"/>
      <c r="X372" s="222"/>
      <c r="Y372" s="222"/>
      <c r="Z372" s="229"/>
      <c r="AA372" s="229"/>
      <c r="AB372" s="229"/>
      <c r="AC372" s="229"/>
      <c r="AD372" s="229"/>
      <c r="AE372" s="229"/>
      <c r="AF372" s="229"/>
      <c r="AG372" s="264"/>
      <c r="AH372" s="224"/>
      <c r="AI372" s="264"/>
      <c r="AJ372" s="224"/>
      <c r="AK372" s="237"/>
      <c r="AL372" s="258"/>
      <c r="AM372" s="258"/>
      <c r="AN372" s="229"/>
      <c r="AO372" s="229"/>
      <c r="AP372" s="229"/>
      <c r="AQ372" s="259"/>
      <c r="AR372" s="259"/>
      <c r="AS372" s="229"/>
      <c r="AT372" s="229"/>
      <c r="AU372" s="229"/>
      <c r="AV372" s="229"/>
      <c r="AW372" s="264"/>
      <c r="AX372" s="264"/>
      <c r="AY372" s="264"/>
      <c r="AZ372" s="264"/>
      <c r="BA372" s="219"/>
      <c r="BB372" s="219"/>
      <c r="BC372" s="229"/>
      <c r="BD372" s="229"/>
      <c r="BE372" s="217"/>
      <c r="BF372" s="229"/>
      <c r="BG372" s="258"/>
      <c r="BH372" s="258"/>
      <c r="BI372" s="229"/>
      <c r="BJ372" s="229"/>
      <c r="BK372" s="229"/>
      <c r="BL372" s="229"/>
      <c r="BM372" s="258"/>
      <c r="BN372" s="258"/>
      <c r="BO372" s="258"/>
      <c r="BP372" s="258"/>
      <c r="BQ372" s="229"/>
      <c r="BR372" s="258"/>
      <c r="BS372" s="258"/>
      <c r="BT372" s="258"/>
      <c r="BU372" s="258"/>
      <c r="BV372" s="229"/>
      <c r="BW372" s="229"/>
      <c r="BX372" s="241"/>
      <c r="BY372" s="241"/>
      <c r="BZ372" s="241"/>
      <c r="CA372" s="217"/>
      <c r="CB372" s="217"/>
      <c r="CC372" s="229"/>
      <c r="CD372" s="217"/>
      <c r="CE372" s="217"/>
      <c r="CF372" s="217"/>
      <c r="CG372" s="217"/>
      <c r="CH372" s="217"/>
      <c r="CI372" s="229"/>
      <c r="CJ372" s="217"/>
      <c r="CK372" s="217"/>
      <c r="CL372" s="217"/>
      <c r="CM372" s="217"/>
      <c r="CN372" s="217"/>
      <c r="CO372" s="229"/>
      <c r="CP372" s="217"/>
      <c r="CQ372" s="217"/>
      <c r="CR372" s="217"/>
      <c r="CS372" s="217"/>
      <c r="CT372" s="217"/>
      <c r="CU372" s="229"/>
      <c r="CV372" s="217"/>
      <c r="CW372" s="217"/>
      <c r="CX372" s="217"/>
      <c r="CY372" s="217"/>
      <c r="CZ372" s="217"/>
      <c r="DA372" s="229"/>
      <c r="DB372" s="217"/>
      <c r="DC372" s="217"/>
      <c r="DD372" s="217"/>
      <c r="DE372" s="217"/>
      <c r="DF372" s="217"/>
      <c r="DG372" s="229"/>
      <c r="DH372" s="217"/>
      <c r="DI372" s="217"/>
      <c r="DJ372" s="217"/>
      <c r="DK372" s="217"/>
      <c r="DL372" s="217"/>
      <c r="DM372" s="229"/>
      <c r="DN372" s="217"/>
      <c r="DO372" s="217"/>
      <c r="DP372" s="217"/>
      <c r="DQ372" s="217"/>
      <c r="DR372" s="217"/>
      <c r="DS372" s="229"/>
      <c r="DT372" s="229"/>
      <c r="DU372" s="229"/>
      <c r="DV372" s="217"/>
      <c r="DW372" s="217"/>
      <c r="DX372" s="230"/>
      <c r="DY372" s="231"/>
      <c r="DZ372" s="231"/>
      <c r="EA372" s="230"/>
      <c r="EB372" s="232"/>
      <c r="EC372" s="217"/>
      <c r="ED372" s="233"/>
      <c r="EE372" s="234"/>
      <c r="EF372" s="235"/>
      <c r="EG372" s="233"/>
      <c r="EH372" s="236"/>
      <c r="EI372" s="217"/>
      <c r="EJ372" s="237"/>
      <c r="EK372" s="217"/>
      <c r="EL372" s="217"/>
      <c r="EM372" s="238"/>
      <c r="EN372" s="236"/>
      <c r="EO372" s="239"/>
      <c r="EP372" s="236"/>
      <c r="EQ372" s="217"/>
      <c r="ER372" s="217"/>
      <c r="ES372" s="236"/>
      <c r="ET372" s="236"/>
      <c r="EU372" s="236"/>
      <c r="EV372" s="239"/>
      <c r="EW372" s="236"/>
      <c r="EX372" s="217"/>
      <c r="EY372" s="240"/>
      <c r="EZ372" s="241"/>
      <c r="FA372" s="240"/>
      <c r="FB372" s="241"/>
      <c r="FC372" s="240"/>
      <c r="FD372" s="217"/>
      <c r="FE372" s="240"/>
      <c r="FF372" s="217"/>
      <c r="FG372" s="217"/>
      <c r="FH372" s="217"/>
      <c r="FI372" s="217"/>
      <c r="FJ372" s="217"/>
      <c r="FK372" s="240"/>
      <c r="FL372" s="217"/>
      <c r="FM372" s="240"/>
      <c r="FN372" s="217"/>
      <c r="FO372" s="240"/>
      <c r="FP372" s="217"/>
      <c r="FQ372" s="240"/>
      <c r="FR372" s="217"/>
      <c r="FS372" s="236"/>
      <c r="FT372" s="236"/>
      <c r="FU372" s="236"/>
      <c r="FV372" s="236"/>
      <c r="FW372" s="239"/>
      <c r="FX372" s="236"/>
      <c r="FY372" s="217"/>
      <c r="FZ372" s="240"/>
      <c r="GA372" s="217"/>
      <c r="GB372" s="242"/>
      <c r="GC372" s="217"/>
      <c r="GD372" s="240"/>
      <c r="GE372" s="240"/>
      <c r="GF372" s="240"/>
      <c r="GG372" s="240"/>
      <c r="GH372" s="240"/>
      <c r="GI372" s="217"/>
      <c r="GJ372" s="217"/>
      <c r="GK372" s="239"/>
      <c r="GL372" s="243"/>
    </row>
    <row r="373" ht="15.75" customHeight="1">
      <c r="A373" s="229"/>
      <c r="B373" s="258"/>
      <c r="C373" s="259"/>
      <c r="D373" s="260"/>
      <c r="E373" s="229"/>
      <c r="F373" s="261"/>
      <c r="G373" s="261"/>
      <c r="H373" s="262"/>
      <c r="I373" s="259"/>
      <c r="J373" s="259"/>
      <c r="K373" s="229"/>
      <c r="L373" s="229"/>
      <c r="M373" s="229"/>
      <c r="N373" s="229"/>
      <c r="O373" s="229"/>
      <c r="P373" s="217"/>
      <c r="Q373" s="229"/>
      <c r="R373" s="218"/>
      <c r="S373" s="265"/>
      <c r="T373" s="220"/>
      <c r="U373" s="220"/>
      <c r="V373" s="221"/>
      <c r="W373" s="220"/>
      <c r="X373" s="222"/>
      <c r="Y373" s="222"/>
      <c r="Z373" s="229"/>
      <c r="AA373" s="229"/>
      <c r="AB373" s="229"/>
      <c r="AC373" s="229"/>
      <c r="AD373" s="229"/>
      <c r="AE373" s="229"/>
      <c r="AF373" s="229"/>
      <c r="AG373" s="264"/>
      <c r="AH373" s="224"/>
      <c r="AI373" s="264"/>
      <c r="AJ373" s="224"/>
      <c r="AK373" s="237"/>
      <c r="AL373" s="258"/>
      <c r="AM373" s="258"/>
      <c r="AN373" s="229"/>
      <c r="AO373" s="229"/>
      <c r="AP373" s="229"/>
      <c r="AQ373" s="259"/>
      <c r="AR373" s="259"/>
      <c r="AS373" s="229"/>
      <c r="AT373" s="229"/>
      <c r="AU373" s="229"/>
      <c r="AV373" s="229"/>
      <c r="AW373" s="264"/>
      <c r="AX373" s="264"/>
      <c r="AY373" s="264"/>
      <c r="AZ373" s="264"/>
      <c r="BA373" s="219"/>
      <c r="BB373" s="219"/>
      <c r="BC373" s="229"/>
      <c r="BD373" s="229"/>
      <c r="BE373" s="217"/>
      <c r="BF373" s="229"/>
      <c r="BG373" s="258"/>
      <c r="BH373" s="258"/>
      <c r="BI373" s="229"/>
      <c r="BJ373" s="229"/>
      <c r="BK373" s="229"/>
      <c r="BL373" s="229"/>
      <c r="BM373" s="258"/>
      <c r="BN373" s="258"/>
      <c r="BO373" s="258"/>
      <c r="BP373" s="258"/>
      <c r="BQ373" s="229"/>
      <c r="BR373" s="258"/>
      <c r="BS373" s="258"/>
      <c r="BT373" s="258"/>
      <c r="BU373" s="258"/>
      <c r="BV373" s="229"/>
      <c r="BW373" s="229"/>
      <c r="BX373" s="241"/>
      <c r="BY373" s="241"/>
      <c r="BZ373" s="241"/>
      <c r="CA373" s="217"/>
      <c r="CB373" s="217"/>
      <c r="CC373" s="229"/>
      <c r="CD373" s="217"/>
      <c r="CE373" s="217"/>
      <c r="CF373" s="217"/>
      <c r="CG373" s="217"/>
      <c r="CH373" s="217"/>
      <c r="CI373" s="229"/>
      <c r="CJ373" s="217"/>
      <c r="CK373" s="217"/>
      <c r="CL373" s="217"/>
      <c r="CM373" s="217"/>
      <c r="CN373" s="217"/>
      <c r="CO373" s="229"/>
      <c r="CP373" s="217"/>
      <c r="CQ373" s="217"/>
      <c r="CR373" s="217"/>
      <c r="CS373" s="217"/>
      <c r="CT373" s="217"/>
      <c r="CU373" s="229"/>
      <c r="CV373" s="217"/>
      <c r="CW373" s="217"/>
      <c r="CX373" s="217"/>
      <c r="CY373" s="217"/>
      <c r="CZ373" s="217"/>
      <c r="DA373" s="229"/>
      <c r="DB373" s="217"/>
      <c r="DC373" s="217"/>
      <c r="DD373" s="217"/>
      <c r="DE373" s="217"/>
      <c r="DF373" s="217"/>
      <c r="DG373" s="229"/>
      <c r="DH373" s="217"/>
      <c r="DI373" s="217"/>
      <c r="DJ373" s="217"/>
      <c r="DK373" s="217"/>
      <c r="DL373" s="217"/>
      <c r="DM373" s="229"/>
      <c r="DN373" s="217"/>
      <c r="DO373" s="217"/>
      <c r="DP373" s="217"/>
      <c r="DQ373" s="217"/>
      <c r="DR373" s="217"/>
      <c r="DS373" s="229"/>
      <c r="DT373" s="229"/>
      <c r="DU373" s="229"/>
      <c r="DV373" s="217"/>
      <c r="DW373" s="217"/>
      <c r="DX373" s="230"/>
      <c r="DY373" s="231"/>
      <c r="DZ373" s="231"/>
      <c r="EA373" s="230"/>
      <c r="EB373" s="232"/>
      <c r="EC373" s="217"/>
      <c r="ED373" s="233"/>
      <c r="EE373" s="234"/>
      <c r="EF373" s="235"/>
      <c r="EG373" s="233"/>
      <c r="EH373" s="236"/>
      <c r="EI373" s="217"/>
      <c r="EJ373" s="237"/>
      <c r="EK373" s="217"/>
      <c r="EL373" s="217"/>
      <c r="EM373" s="238"/>
      <c r="EN373" s="236"/>
      <c r="EO373" s="239"/>
      <c r="EP373" s="236"/>
      <c r="EQ373" s="217"/>
      <c r="ER373" s="217"/>
      <c r="ES373" s="236"/>
      <c r="ET373" s="236"/>
      <c r="EU373" s="236"/>
      <c r="EV373" s="239"/>
      <c r="EW373" s="236"/>
      <c r="EX373" s="217"/>
      <c r="EY373" s="240"/>
      <c r="EZ373" s="241"/>
      <c r="FA373" s="240"/>
      <c r="FB373" s="241"/>
      <c r="FC373" s="240"/>
      <c r="FD373" s="217"/>
      <c r="FE373" s="240"/>
      <c r="FF373" s="217"/>
      <c r="FG373" s="217"/>
      <c r="FH373" s="217"/>
      <c r="FI373" s="217"/>
      <c r="FJ373" s="217"/>
      <c r="FK373" s="240"/>
      <c r="FL373" s="217"/>
      <c r="FM373" s="240"/>
      <c r="FN373" s="217"/>
      <c r="FO373" s="240"/>
      <c r="FP373" s="217"/>
      <c r="FQ373" s="240"/>
      <c r="FR373" s="217"/>
      <c r="FS373" s="236"/>
      <c r="FT373" s="236"/>
      <c r="FU373" s="236"/>
      <c r="FV373" s="236"/>
      <c r="FW373" s="239"/>
      <c r="FX373" s="236"/>
      <c r="FY373" s="217"/>
      <c r="FZ373" s="240"/>
      <c r="GA373" s="217"/>
      <c r="GB373" s="242"/>
      <c r="GC373" s="217"/>
      <c r="GD373" s="240"/>
      <c r="GE373" s="240"/>
      <c r="GF373" s="240"/>
      <c r="GG373" s="240"/>
      <c r="GH373" s="240"/>
      <c r="GI373" s="217"/>
      <c r="GJ373" s="217"/>
      <c r="GK373" s="239"/>
      <c r="GL373" s="243"/>
    </row>
    <row r="374" ht="15.75" customHeight="1">
      <c r="A374" s="229"/>
      <c r="B374" s="258"/>
      <c r="C374" s="259"/>
      <c r="D374" s="260"/>
      <c r="E374" s="229"/>
      <c r="F374" s="261"/>
      <c r="G374" s="261"/>
      <c r="H374" s="262"/>
      <c r="I374" s="259"/>
      <c r="J374" s="259"/>
      <c r="K374" s="229"/>
      <c r="L374" s="229"/>
      <c r="M374" s="229"/>
      <c r="N374" s="229"/>
      <c r="O374" s="229"/>
      <c r="P374" s="217"/>
      <c r="Q374" s="229"/>
      <c r="R374" s="218"/>
      <c r="S374" s="265"/>
      <c r="T374" s="220"/>
      <c r="U374" s="220"/>
      <c r="V374" s="221"/>
      <c r="W374" s="220"/>
      <c r="X374" s="222"/>
      <c r="Y374" s="222"/>
      <c r="Z374" s="229"/>
      <c r="AA374" s="229"/>
      <c r="AB374" s="229"/>
      <c r="AC374" s="229"/>
      <c r="AD374" s="229"/>
      <c r="AE374" s="229"/>
      <c r="AF374" s="229"/>
      <c r="AG374" s="264"/>
      <c r="AH374" s="224"/>
      <c r="AI374" s="264"/>
      <c r="AJ374" s="224"/>
      <c r="AK374" s="237"/>
      <c r="AL374" s="258"/>
      <c r="AM374" s="258"/>
      <c r="AN374" s="229"/>
      <c r="AO374" s="229"/>
      <c r="AP374" s="229"/>
      <c r="AQ374" s="259"/>
      <c r="AR374" s="259"/>
      <c r="AS374" s="229"/>
      <c r="AT374" s="229"/>
      <c r="AU374" s="229"/>
      <c r="AV374" s="229"/>
      <c r="AW374" s="264"/>
      <c r="AX374" s="264"/>
      <c r="AY374" s="264"/>
      <c r="AZ374" s="264"/>
      <c r="BA374" s="219"/>
      <c r="BB374" s="219"/>
      <c r="BC374" s="229"/>
      <c r="BD374" s="229"/>
      <c r="BE374" s="217"/>
      <c r="BF374" s="229"/>
      <c r="BG374" s="258"/>
      <c r="BH374" s="258"/>
      <c r="BI374" s="229"/>
      <c r="BJ374" s="229"/>
      <c r="BK374" s="229"/>
      <c r="BL374" s="229"/>
      <c r="BM374" s="258"/>
      <c r="BN374" s="258"/>
      <c r="BO374" s="258"/>
      <c r="BP374" s="258"/>
      <c r="BQ374" s="229"/>
      <c r="BR374" s="258"/>
      <c r="BS374" s="258"/>
      <c r="BT374" s="258"/>
      <c r="BU374" s="258"/>
      <c r="BV374" s="229"/>
      <c r="BW374" s="229"/>
      <c r="BX374" s="241"/>
      <c r="BY374" s="241"/>
      <c r="BZ374" s="241"/>
      <c r="CA374" s="217"/>
      <c r="CB374" s="217"/>
      <c r="CC374" s="229"/>
      <c r="CD374" s="217"/>
      <c r="CE374" s="217"/>
      <c r="CF374" s="217"/>
      <c r="CG374" s="217"/>
      <c r="CH374" s="217"/>
      <c r="CI374" s="229"/>
      <c r="CJ374" s="217"/>
      <c r="CK374" s="217"/>
      <c r="CL374" s="217"/>
      <c r="CM374" s="217"/>
      <c r="CN374" s="217"/>
      <c r="CO374" s="229"/>
      <c r="CP374" s="217"/>
      <c r="CQ374" s="217"/>
      <c r="CR374" s="217"/>
      <c r="CS374" s="217"/>
      <c r="CT374" s="217"/>
      <c r="CU374" s="229"/>
      <c r="CV374" s="217"/>
      <c r="CW374" s="217"/>
      <c r="CX374" s="217"/>
      <c r="CY374" s="217"/>
      <c r="CZ374" s="217"/>
      <c r="DA374" s="229"/>
      <c r="DB374" s="217"/>
      <c r="DC374" s="217"/>
      <c r="DD374" s="217"/>
      <c r="DE374" s="217"/>
      <c r="DF374" s="217"/>
      <c r="DG374" s="229"/>
      <c r="DH374" s="217"/>
      <c r="DI374" s="217"/>
      <c r="DJ374" s="217"/>
      <c r="DK374" s="217"/>
      <c r="DL374" s="217"/>
      <c r="DM374" s="229"/>
      <c r="DN374" s="217"/>
      <c r="DO374" s="217"/>
      <c r="DP374" s="217"/>
      <c r="DQ374" s="217"/>
      <c r="DR374" s="217"/>
      <c r="DS374" s="229"/>
      <c r="DT374" s="229"/>
      <c r="DU374" s="229"/>
      <c r="DV374" s="217"/>
      <c r="DW374" s="217"/>
      <c r="DX374" s="230"/>
      <c r="DY374" s="231"/>
      <c r="DZ374" s="231"/>
      <c r="EA374" s="230"/>
      <c r="EB374" s="232"/>
      <c r="EC374" s="217"/>
      <c r="ED374" s="233"/>
      <c r="EE374" s="234"/>
      <c r="EF374" s="235"/>
      <c r="EG374" s="233"/>
      <c r="EH374" s="236"/>
      <c r="EI374" s="217"/>
      <c r="EJ374" s="237"/>
      <c r="EK374" s="217"/>
      <c r="EL374" s="217"/>
      <c r="EM374" s="238"/>
      <c r="EN374" s="236"/>
      <c r="EO374" s="239"/>
      <c r="EP374" s="236"/>
      <c r="EQ374" s="217"/>
      <c r="ER374" s="217"/>
      <c r="ES374" s="236"/>
      <c r="ET374" s="236"/>
      <c r="EU374" s="236"/>
      <c r="EV374" s="239"/>
      <c r="EW374" s="236"/>
      <c r="EX374" s="217"/>
      <c r="EY374" s="240"/>
      <c r="EZ374" s="241"/>
      <c r="FA374" s="240"/>
      <c r="FB374" s="241"/>
      <c r="FC374" s="240"/>
      <c r="FD374" s="217"/>
      <c r="FE374" s="240"/>
      <c r="FF374" s="217"/>
      <c r="FG374" s="217"/>
      <c r="FH374" s="217"/>
      <c r="FI374" s="217"/>
      <c r="FJ374" s="217"/>
      <c r="FK374" s="240"/>
      <c r="FL374" s="217"/>
      <c r="FM374" s="240"/>
      <c r="FN374" s="217"/>
      <c r="FO374" s="240"/>
      <c r="FP374" s="217"/>
      <c r="FQ374" s="240"/>
      <c r="FR374" s="217"/>
      <c r="FS374" s="236"/>
      <c r="FT374" s="236"/>
      <c r="FU374" s="236"/>
      <c r="FV374" s="236"/>
      <c r="FW374" s="239"/>
      <c r="FX374" s="236"/>
      <c r="FY374" s="217"/>
      <c r="FZ374" s="240"/>
      <c r="GA374" s="217"/>
      <c r="GB374" s="242"/>
      <c r="GC374" s="217"/>
      <c r="GD374" s="240"/>
      <c r="GE374" s="240"/>
      <c r="GF374" s="240"/>
      <c r="GG374" s="240"/>
      <c r="GH374" s="240"/>
      <c r="GI374" s="217"/>
      <c r="GJ374" s="217"/>
      <c r="GK374" s="239"/>
      <c r="GL374" s="243"/>
    </row>
    <row r="375" ht="15.75" customHeight="1">
      <c r="A375" s="229"/>
      <c r="B375" s="258"/>
      <c r="C375" s="259"/>
      <c r="D375" s="260"/>
      <c r="E375" s="229"/>
      <c r="F375" s="261"/>
      <c r="G375" s="261"/>
      <c r="H375" s="262"/>
      <c r="I375" s="259"/>
      <c r="J375" s="259"/>
      <c r="K375" s="229"/>
      <c r="L375" s="229"/>
      <c r="M375" s="229"/>
      <c r="N375" s="229"/>
      <c r="O375" s="229"/>
      <c r="P375" s="217"/>
      <c r="Q375" s="229"/>
      <c r="R375" s="218"/>
      <c r="S375" s="265"/>
      <c r="T375" s="220"/>
      <c r="U375" s="220"/>
      <c r="V375" s="221"/>
      <c r="W375" s="220"/>
      <c r="X375" s="222"/>
      <c r="Y375" s="222"/>
      <c r="Z375" s="229"/>
      <c r="AA375" s="229"/>
      <c r="AB375" s="229"/>
      <c r="AC375" s="229"/>
      <c r="AD375" s="229"/>
      <c r="AE375" s="229"/>
      <c r="AF375" s="229"/>
      <c r="AG375" s="264"/>
      <c r="AH375" s="224"/>
      <c r="AI375" s="264"/>
      <c r="AJ375" s="224"/>
      <c r="AK375" s="237"/>
      <c r="AL375" s="258"/>
      <c r="AM375" s="258"/>
      <c r="AN375" s="229"/>
      <c r="AO375" s="229"/>
      <c r="AP375" s="229"/>
      <c r="AQ375" s="259"/>
      <c r="AR375" s="259"/>
      <c r="AS375" s="229"/>
      <c r="AT375" s="229"/>
      <c r="AU375" s="229"/>
      <c r="AV375" s="229"/>
      <c r="AW375" s="264"/>
      <c r="AX375" s="264"/>
      <c r="AY375" s="264"/>
      <c r="AZ375" s="264"/>
      <c r="BA375" s="219"/>
      <c r="BB375" s="219"/>
      <c r="BC375" s="229"/>
      <c r="BD375" s="229"/>
      <c r="BE375" s="217"/>
      <c r="BF375" s="229"/>
      <c r="BG375" s="258"/>
      <c r="BH375" s="258"/>
      <c r="BI375" s="229"/>
      <c r="BJ375" s="229"/>
      <c r="BK375" s="229"/>
      <c r="BL375" s="229"/>
      <c r="BM375" s="258"/>
      <c r="BN375" s="258"/>
      <c r="BO375" s="258"/>
      <c r="BP375" s="258"/>
      <c r="BQ375" s="229"/>
      <c r="BR375" s="258"/>
      <c r="BS375" s="258"/>
      <c r="BT375" s="258"/>
      <c r="BU375" s="258"/>
      <c r="BV375" s="229"/>
      <c r="BW375" s="229"/>
      <c r="BX375" s="241"/>
      <c r="BY375" s="241"/>
      <c r="BZ375" s="241"/>
      <c r="CA375" s="217"/>
      <c r="CB375" s="217"/>
      <c r="CC375" s="229"/>
      <c r="CD375" s="217"/>
      <c r="CE375" s="217"/>
      <c r="CF375" s="217"/>
      <c r="CG375" s="217"/>
      <c r="CH375" s="217"/>
      <c r="CI375" s="229"/>
      <c r="CJ375" s="217"/>
      <c r="CK375" s="217"/>
      <c r="CL375" s="217"/>
      <c r="CM375" s="217"/>
      <c r="CN375" s="217"/>
      <c r="CO375" s="229"/>
      <c r="CP375" s="217"/>
      <c r="CQ375" s="217"/>
      <c r="CR375" s="217"/>
      <c r="CS375" s="217"/>
      <c r="CT375" s="217"/>
      <c r="CU375" s="229"/>
      <c r="CV375" s="217"/>
      <c r="CW375" s="217"/>
      <c r="CX375" s="217"/>
      <c r="CY375" s="217"/>
      <c r="CZ375" s="217"/>
      <c r="DA375" s="229"/>
      <c r="DB375" s="217"/>
      <c r="DC375" s="217"/>
      <c r="DD375" s="217"/>
      <c r="DE375" s="217"/>
      <c r="DF375" s="217"/>
      <c r="DG375" s="229"/>
      <c r="DH375" s="217"/>
      <c r="DI375" s="217"/>
      <c r="DJ375" s="217"/>
      <c r="DK375" s="217"/>
      <c r="DL375" s="217"/>
      <c r="DM375" s="229"/>
      <c r="DN375" s="217"/>
      <c r="DO375" s="217"/>
      <c r="DP375" s="217"/>
      <c r="DQ375" s="217"/>
      <c r="DR375" s="217"/>
      <c r="DS375" s="229"/>
      <c r="DT375" s="229"/>
      <c r="DU375" s="229"/>
      <c r="DV375" s="217"/>
      <c r="DW375" s="217"/>
      <c r="DX375" s="230"/>
      <c r="DY375" s="231"/>
      <c r="DZ375" s="231"/>
      <c r="EA375" s="230"/>
      <c r="EB375" s="232"/>
      <c r="EC375" s="217"/>
      <c r="ED375" s="233"/>
      <c r="EE375" s="234"/>
      <c r="EF375" s="235"/>
      <c r="EG375" s="233"/>
      <c r="EH375" s="236"/>
      <c r="EI375" s="217"/>
      <c r="EJ375" s="237"/>
      <c r="EK375" s="217"/>
      <c r="EL375" s="217"/>
      <c r="EM375" s="238"/>
      <c r="EN375" s="236"/>
      <c r="EO375" s="239"/>
      <c r="EP375" s="236"/>
      <c r="EQ375" s="217"/>
      <c r="ER375" s="217"/>
      <c r="ES375" s="236"/>
      <c r="ET375" s="236"/>
      <c r="EU375" s="236"/>
      <c r="EV375" s="239"/>
      <c r="EW375" s="236"/>
      <c r="EX375" s="217"/>
      <c r="EY375" s="240"/>
      <c r="EZ375" s="241"/>
      <c r="FA375" s="240"/>
      <c r="FB375" s="241"/>
      <c r="FC375" s="240"/>
      <c r="FD375" s="217"/>
      <c r="FE375" s="240"/>
      <c r="FF375" s="217"/>
      <c r="FG375" s="217"/>
      <c r="FH375" s="217"/>
      <c r="FI375" s="217"/>
      <c r="FJ375" s="217"/>
      <c r="FK375" s="240"/>
      <c r="FL375" s="217"/>
      <c r="FM375" s="240"/>
      <c r="FN375" s="217"/>
      <c r="FO375" s="240"/>
      <c r="FP375" s="217"/>
      <c r="FQ375" s="240"/>
      <c r="FR375" s="217"/>
      <c r="FS375" s="236"/>
      <c r="FT375" s="236"/>
      <c r="FU375" s="236"/>
      <c r="FV375" s="236"/>
      <c r="FW375" s="239"/>
      <c r="FX375" s="236"/>
      <c r="FY375" s="217"/>
      <c r="FZ375" s="240"/>
      <c r="GA375" s="217"/>
      <c r="GB375" s="242"/>
      <c r="GC375" s="217"/>
      <c r="GD375" s="240"/>
      <c r="GE375" s="240"/>
      <c r="GF375" s="240"/>
      <c r="GG375" s="240"/>
      <c r="GH375" s="240"/>
      <c r="GI375" s="217"/>
      <c r="GJ375" s="217"/>
      <c r="GK375" s="239"/>
      <c r="GL375" s="243"/>
    </row>
    <row r="376" ht="15.75" customHeight="1">
      <c r="A376" s="229"/>
      <c r="B376" s="258"/>
      <c r="C376" s="259"/>
      <c r="D376" s="260"/>
      <c r="E376" s="229"/>
      <c r="F376" s="261"/>
      <c r="G376" s="261"/>
      <c r="H376" s="262"/>
      <c r="I376" s="259"/>
      <c r="J376" s="259"/>
      <c r="K376" s="229"/>
      <c r="L376" s="229"/>
      <c r="M376" s="229"/>
      <c r="N376" s="229"/>
      <c r="O376" s="229"/>
      <c r="P376" s="217"/>
      <c r="Q376" s="229"/>
      <c r="R376" s="218"/>
      <c r="S376" s="265"/>
      <c r="T376" s="220"/>
      <c r="U376" s="220"/>
      <c r="V376" s="221"/>
      <c r="W376" s="220"/>
      <c r="X376" s="222"/>
      <c r="Y376" s="222"/>
      <c r="Z376" s="229"/>
      <c r="AA376" s="229"/>
      <c r="AB376" s="229"/>
      <c r="AC376" s="229"/>
      <c r="AD376" s="229"/>
      <c r="AE376" s="229"/>
      <c r="AF376" s="229"/>
      <c r="AG376" s="264"/>
      <c r="AH376" s="224"/>
      <c r="AI376" s="264"/>
      <c r="AJ376" s="224"/>
      <c r="AK376" s="237"/>
      <c r="AL376" s="258"/>
      <c r="AM376" s="258"/>
      <c r="AN376" s="229"/>
      <c r="AO376" s="229"/>
      <c r="AP376" s="229"/>
      <c r="AQ376" s="259"/>
      <c r="AR376" s="259"/>
      <c r="AS376" s="229"/>
      <c r="AT376" s="229"/>
      <c r="AU376" s="229"/>
      <c r="AV376" s="229"/>
      <c r="AW376" s="264"/>
      <c r="AX376" s="264"/>
      <c r="AY376" s="264"/>
      <c r="AZ376" s="264"/>
      <c r="BA376" s="219"/>
      <c r="BB376" s="219"/>
      <c r="BC376" s="229"/>
      <c r="BD376" s="229"/>
      <c r="BE376" s="217"/>
      <c r="BF376" s="229"/>
      <c r="BG376" s="258"/>
      <c r="BH376" s="258"/>
      <c r="BI376" s="229"/>
      <c r="BJ376" s="229"/>
      <c r="BK376" s="229"/>
      <c r="BL376" s="229"/>
      <c r="BM376" s="258"/>
      <c r="BN376" s="258"/>
      <c r="BO376" s="258"/>
      <c r="BP376" s="258"/>
      <c r="BQ376" s="229"/>
      <c r="BR376" s="258"/>
      <c r="BS376" s="258"/>
      <c r="BT376" s="258"/>
      <c r="BU376" s="258"/>
      <c r="BV376" s="229"/>
      <c r="BW376" s="229"/>
      <c r="BX376" s="241"/>
      <c r="BY376" s="241"/>
      <c r="BZ376" s="241"/>
      <c r="CA376" s="217"/>
      <c r="CB376" s="217"/>
      <c r="CC376" s="229"/>
      <c r="CD376" s="217"/>
      <c r="CE376" s="217"/>
      <c r="CF376" s="217"/>
      <c r="CG376" s="217"/>
      <c r="CH376" s="217"/>
      <c r="CI376" s="229"/>
      <c r="CJ376" s="217"/>
      <c r="CK376" s="217"/>
      <c r="CL376" s="217"/>
      <c r="CM376" s="217"/>
      <c r="CN376" s="217"/>
      <c r="CO376" s="229"/>
      <c r="CP376" s="217"/>
      <c r="CQ376" s="217"/>
      <c r="CR376" s="217"/>
      <c r="CS376" s="217"/>
      <c r="CT376" s="217"/>
      <c r="CU376" s="229"/>
      <c r="CV376" s="217"/>
      <c r="CW376" s="217"/>
      <c r="CX376" s="217"/>
      <c r="CY376" s="217"/>
      <c r="CZ376" s="217"/>
      <c r="DA376" s="229"/>
      <c r="DB376" s="217"/>
      <c r="DC376" s="217"/>
      <c r="DD376" s="217"/>
      <c r="DE376" s="217"/>
      <c r="DF376" s="217"/>
      <c r="DG376" s="229"/>
      <c r="DH376" s="217"/>
      <c r="DI376" s="217"/>
      <c r="DJ376" s="217"/>
      <c r="DK376" s="217"/>
      <c r="DL376" s="217"/>
      <c r="DM376" s="229"/>
      <c r="DN376" s="217"/>
      <c r="DO376" s="217"/>
      <c r="DP376" s="217"/>
      <c r="DQ376" s="217"/>
      <c r="DR376" s="217"/>
      <c r="DS376" s="229"/>
      <c r="DT376" s="229"/>
      <c r="DU376" s="229"/>
      <c r="DV376" s="217"/>
      <c r="DW376" s="217"/>
      <c r="DX376" s="230"/>
      <c r="DY376" s="231"/>
      <c r="DZ376" s="231"/>
      <c r="EA376" s="230"/>
      <c r="EB376" s="232"/>
      <c r="EC376" s="217"/>
      <c r="ED376" s="233"/>
      <c r="EE376" s="234"/>
      <c r="EF376" s="235"/>
      <c r="EG376" s="233"/>
      <c r="EH376" s="236"/>
      <c r="EI376" s="217"/>
      <c r="EJ376" s="237"/>
      <c r="EK376" s="217"/>
      <c r="EL376" s="217"/>
      <c r="EM376" s="238"/>
      <c r="EN376" s="236"/>
      <c r="EO376" s="239"/>
      <c r="EP376" s="236"/>
      <c r="EQ376" s="217"/>
      <c r="ER376" s="217"/>
      <c r="ES376" s="236"/>
      <c r="ET376" s="236"/>
      <c r="EU376" s="236"/>
      <c r="EV376" s="239"/>
      <c r="EW376" s="236"/>
      <c r="EX376" s="217"/>
      <c r="EY376" s="240"/>
      <c r="EZ376" s="241"/>
      <c r="FA376" s="240"/>
      <c r="FB376" s="241"/>
      <c r="FC376" s="240"/>
      <c r="FD376" s="217"/>
      <c r="FE376" s="240"/>
      <c r="FF376" s="217"/>
      <c r="FG376" s="217"/>
      <c r="FH376" s="217"/>
      <c r="FI376" s="217"/>
      <c r="FJ376" s="217"/>
      <c r="FK376" s="240"/>
      <c r="FL376" s="217"/>
      <c r="FM376" s="240"/>
      <c r="FN376" s="217"/>
      <c r="FO376" s="240"/>
      <c r="FP376" s="217"/>
      <c r="FQ376" s="240"/>
      <c r="FR376" s="217"/>
      <c r="FS376" s="236"/>
      <c r="FT376" s="236"/>
      <c r="FU376" s="236"/>
      <c r="FV376" s="236"/>
      <c r="FW376" s="239"/>
      <c r="FX376" s="236"/>
      <c r="FY376" s="217"/>
      <c r="FZ376" s="240"/>
      <c r="GA376" s="217"/>
      <c r="GB376" s="242"/>
      <c r="GC376" s="217"/>
      <c r="GD376" s="240"/>
      <c r="GE376" s="240"/>
      <c r="GF376" s="240"/>
      <c r="GG376" s="240"/>
      <c r="GH376" s="240"/>
      <c r="GI376" s="217"/>
      <c r="GJ376" s="217"/>
      <c r="GK376" s="239"/>
      <c r="GL376" s="243"/>
    </row>
    <row r="377" ht="15.75" customHeight="1">
      <c r="A377" s="229"/>
      <c r="B377" s="258"/>
      <c r="C377" s="259"/>
      <c r="D377" s="260"/>
      <c r="E377" s="229"/>
      <c r="F377" s="261"/>
      <c r="G377" s="261"/>
      <c r="H377" s="262"/>
      <c r="I377" s="259"/>
      <c r="J377" s="259"/>
      <c r="K377" s="229"/>
      <c r="L377" s="229"/>
      <c r="M377" s="229"/>
      <c r="N377" s="229"/>
      <c r="O377" s="229"/>
      <c r="P377" s="217"/>
      <c r="Q377" s="229"/>
      <c r="R377" s="218"/>
      <c r="S377" s="265"/>
      <c r="T377" s="220"/>
      <c r="U377" s="220"/>
      <c r="V377" s="221"/>
      <c r="W377" s="220"/>
      <c r="X377" s="222"/>
      <c r="Y377" s="222"/>
      <c r="Z377" s="229"/>
      <c r="AA377" s="229"/>
      <c r="AB377" s="229"/>
      <c r="AC377" s="229"/>
      <c r="AD377" s="229"/>
      <c r="AE377" s="229"/>
      <c r="AF377" s="229"/>
      <c r="AG377" s="264"/>
      <c r="AH377" s="224"/>
      <c r="AI377" s="264"/>
      <c r="AJ377" s="224"/>
      <c r="AK377" s="237"/>
      <c r="AL377" s="258"/>
      <c r="AM377" s="258"/>
      <c r="AN377" s="229"/>
      <c r="AO377" s="229"/>
      <c r="AP377" s="229"/>
      <c r="AQ377" s="259"/>
      <c r="AR377" s="259"/>
      <c r="AS377" s="229"/>
      <c r="AT377" s="229"/>
      <c r="AU377" s="229"/>
      <c r="AV377" s="229"/>
      <c r="AW377" s="264"/>
      <c r="AX377" s="264"/>
      <c r="AY377" s="264"/>
      <c r="AZ377" s="264"/>
      <c r="BA377" s="219"/>
      <c r="BB377" s="219"/>
      <c r="BC377" s="229"/>
      <c r="BD377" s="229"/>
      <c r="BE377" s="217"/>
      <c r="BF377" s="229"/>
      <c r="BG377" s="258"/>
      <c r="BH377" s="258"/>
      <c r="BI377" s="229"/>
      <c r="BJ377" s="229"/>
      <c r="BK377" s="229"/>
      <c r="BL377" s="229"/>
      <c r="BM377" s="258"/>
      <c r="BN377" s="258"/>
      <c r="BO377" s="258"/>
      <c r="BP377" s="258"/>
      <c r="BQ377" s="229"/>
      <c r="BR377" s="258"/>
      <c r="BS377" s="258"/>
      <c r="BT377" s="258"/>
      <c r="BU377" s="258"/>
      <c r="BV377" s="229"/>
      <c r="BW377" s="229"/>
      <c r="BX377" s="241"/>
      <c r="BY377" s="241"/>
      <c r="BZ377" s="241"/>
      <c r="CA377" s="217"/>
      <c r="CB377" s="217"/>
      <c r="CC377" s="229"/>
      <c r="CD377" s="217"/>
      <c r="CE377" s="217"/>
      <c r="CF377" s="217"/>
      <c r="CG377" s="217"/>
      <c r="CH377" s="217"/>
      <c r="CI377" s="229"/>
      <c r="CJ377" s="217"/>
      <c r="CK377" s="217"/>
      <c r="CL377" s="217"/>
      <c r="CM377" s="217"/>
      <c r="CN377" s="217"/>
      <c r="CO377" s="229"/>
      <c r="CP377" s="217"/>
      <c r="CQ377" s="217"/>
      <c r="CR377" s="217"/>
      <c r="CS377" s="217"/>
      <c r="CT377" s="217"/>
      <c r="CU377" s="229"/>
      <c r="CV377" s="217"/>
      <c r="CW377" s="217"/>
      <c r="CX377" s="217"/>
      <c r="CY377" s="217"/>
      <c r="CZ377" s="217"/>
      <c r="DA377" s="229"/>
      <c r="DB377" s="217"/>
      <c r="DC377" s="217"/>
      <c r="DD377" s="217"/>
      <c r="DE377" s="217"/>
      <c r="DF377" s="217"/>
      <c r="DG377" s="229"/>
      <c r="DH377" s="217"/>
      <c r="DI377" s="217"/>
      <c r="DJ377" s="217"/>
      <c r="DK377" s="217"/>
      <c r="DL377" s="217"/>
      <c r="DM377" s="229"/>
      <c r="DN377" s="217"/>
      <c r="DO377" s="217"/>
      <c r="DP377" s="217"/>
      <c r="DQ377" s="217"/>
      <c r="DR377" s="217"/>
      <c r="DS377" s="229"/>
      <c r="DT377" s="229"/>
      <c r="DU377" s="229"/>
      <c r="DV377" s="217"/>
      <c r="DW377" s="217"/>
      <c r="DX377" s="230"/>
      <c r="DY377" s="231"/>
      <c r="DZ377" s="231"/>
      <c r="EA377" s="230"/>
      <c r="EB377" s="232"/>
      <c r="EC377" s="217"/>
      <c r="ED377" s="233"/>
      <c r="EE377" s="234"/>
      <c r="EF377" s="235"/>
      <c r="EG377" s="233"/>
      <c r="EH377" s="236"/>
      <c r="EI377" s="217"/>
      <c r="EJ377" s="237"/>
      <c r="EK377" s="217"/>
      <c r="EL377" s="217"/>
      <c r="EM377" s="238"/>
      <c r="EN377" s="236"/>
      <c r="EO377" s="239"/>
      <c r="EP377" s="236"/>
      <c r="EQ377" s="217"/>
      <c r="ER377" s="217"/>
      <c r="ES377" s="236"/>
      <c r="ET377" s="236"/>
      <c r="EU377" s="236"/>
      <c r="EV377" s="239"/>
      <c r="EW377" s="236"/>
      <c r="EX377" s="217"/>
      <c r="EY377" s="240"/>
      <c r="EZ377" s="241"/>
      <c r="FA377" s="240"/>
      <c r="FB377" s="241"/>
      <c r="FC377" s="240"/>
      <c r="FD377" s="217"/>
      <c r="FE377" s="240"/>
      <c r="FF377" s="217"/>
      <c r="FG377" s="217"/>
      <c r="FH377" s="217"/>
      <c r="FI377" s="217"/>
      <c r="FJ377" s="217"/>
      <c r="FK377" s="240"/>
      <c r="FL377" s="217"/>
      <c r="FM377" s="240"/>
      <c r="FN377" s="217"/>
      <c r="FO377" s="240"/>
      <c r="FP377" s="217"/>
      <c r="FQ377" s="240"/>
      <c r="FR377" s="217"/>
      <c r="FS377" s="236"/>
      <c r="FT377" s="236"/>
      <c r="FU377" s="236"/>
      <c r="FV377" s="236"/>
      <c r="FW377" s="239"/>
      <c r="FX377" s="236"/>
      <c r="FY377" s="217"/>
      <c r="FZ377" s="240"/>
      <c r="GA377" s="217"/>
      <c r="GB377" s="242"/>
      <c r="GC377" s="217"/>
      <c r="GD377" s="240"/>
      <c r="GE377" s="240"/>
      <c r="GF377" s="240"/>
      <c r="GG377" s="240"/>
      <c r="GH377" s="240"/>
      <c r="GI377" s="217"/>
      <c r="GJ377" s="217"/>
      <c r="GK377" s="239"/>
      <c r="GL377" s="243"/>
    </row>
    <row r="378" ht="15.75" customHeight="1">
      <c r="A378" s="229"/>
      <c r="B378" s="258"/>
      <c r="C378" s="259"/>
      <c r="D378" s="260"/>
      <c r="E378" s="229"/>
      <c r="F378" s="261"/>
      <c r="G378" s="261"/>
      <c r="H378" s="262"/>
      <c r="I378" s="259"/>
      <c r="J378" s="259"/>
      <c r="K378" s="229"/>
      <c r="L378" s="229"/>
      <c r="M378" s="229"/>
      <c r="N378" s="229"/>
      <c r="O378" s="229"/>
      <c r="P378" s="217"/>
      <c r="Q378" s="229"/>
      <c r="R378" s="218"/>
      <c r="S378" s="265"/>
      <c r="T378" s="220"/>
      <c r="U378" s="220"/>
      <c r="V378" s="221"/>
      <c r="W378" s="220"/>
      <c r="X378" s="222"/>
      <c r="Y378" s="222"/>
      <c r="Z378" s="229"/>
      <c r="AA378" s="229"/>
      <c r="AB378" s="229"/>
      <c r="AC378" s="229"/>
      <c r="AD378" s="229"/>
      <c r="AE378" s="229"/>
      <c r="AF378" s="229"/>
      <c r="AG378" s="264"/>
      <c r="AH378" s="224"/>
      <c r="AI378" s="264"/>
      <c r="AJ378" s="224"/>
      <c r="AK378" s="237"/>
      <c r="AL378" s="258"/>
      <c r="AM378" s="258"/>
      <c r="AN378" s="229"/>
      <c r="AO378" s="229"/>
      <c r="AP378" s="229"/>
      <c r="AQ378" s="259"/>
      <c r="AR378" s="259"/>
      <c r="AS378" s="229"/>
      <c r="AT378" s="229"/>
      <c r="AU378" s="229"/>
      <c r="AV378" s="229"/>
      <c r="AW378" s="264"/>
      <c r="AX378" s="264"/>
      <c r="AY378" s="264"/>
      <c r="AZ378" s="264"/>
      <c r="BA378" s="219"/>
      <c r="BB378" s="219"/>
      <c r="BC378" s="229"/>
      <c r="BD378" s="229"/>
      <c r="BE378" s="217"/>
      <c r="BF378" s="229"/>
      <c r="BG378" s="258"/>
      <c r="BH378" s="258"/>
      <c r="BI378" s="229"/>
      <c r="BJ378" s="229"/>
      <c r="BK378" s="229"/>
      <c r="BL378" s="229"/>
      <c r="BM378" s="258"/>
      <c r="BN378" s="258"/>
      <c r="BO378" s="258"/>
      <c r="BP378" s="258"/>
      <c r="BQ378" s="229"/>
      <c r="BR378" s="258"/>
      <c r="BS378" s="258"/>
      <c r="BT378" s="258"/>
      <c r="BU378" s="258"/>
      <c r="BV378" s="229"/>
      <c r="BW378" s="229"/>
      <c r="BX378" s="241"/>
      <c r="BY378" s="241"/>
      <c r="BZ378" s="241"/>
      <c r="CA378" s="217"/>
      <c r="CB378" s="217"/>
      <c r="CC378" s="229"/>
      <c r="CD378" s="217"/>
      <c r="CE378" s="217"/>
      <c r="CF378" s="217"/>
      <c r="CG378" s="217"/>
      <c r="CH378" s="217"/>
      <c r="CI378" s="229"/>
      <c r="CJ378" s="217"/>
      <c r="CK378" s="217"/>
      <c r="CL378" s="217"/>
      <c r="CM378" s="217"/>
      <c r="CN378" s="217"/>
      <c r="CO378" s="229"/>
      <c r="CP378" s="217"/>
      <c r="CQ378" s="217"/>
      <c r="CR378" s="217"/>
      <c r="CS378" s="217"/>
      <c r="CT378" s="217"/>
      <c r="CU378" s="229"/>
      <c r="CV378" s="217"/>
      <c r="CW378" s="217"/>
      <c r="CX378" s="217"/>
      <c r="CY378" s="217"/>
      <c r="CZ378" s="217"/>
      <c r="DA378" s="229"/>
      <c r="DB378" s="217"/>
      <c r="DC378" s="217"/>
      <c r="DD378" s="217"/>
      <c r="DE378" s="217"/>
      <c r="DF378" s="217"/>
      <c r="DG378" s="229"/>
      <c r="DH378" s="217"/>
      <c r="DI378" s="217"/>
      <c r="DJ378" s="217"/>
      <c r="DK378" s="217"/>
      <c r="DL378" s="217"/>
      <c r="DM378" s="229"/>
      <c r="DN378" s="217"/>
      <c r="DO378" s="217"/>
      <c r="DP378" s="217"/>
      <c r="DQ378" s="217"/>
      <c r="DR378" s="217"/>
      <c r="DS378" s="229"/>
      <c r="DT378" s="229"/>
      <c r="DU378" s="229"/>
      <c r="DV378" s="217"/>
      <c r="DW378" s="217"/>
      <c r="DX378" s="230"/>
      <c r="DY378" s="231"/>
      <c r="DZ378" s="231"/>
      <c r="EA378" s="230"/>
      <c r="EB378" s="232"/>
      <c r="EC378" s="217"/>
      <c r="ED378" s="233"/>
      <c r="EE378" s="234"/>
      <c r="EF378" s="235"/>
      <c r="EG378" s="233"/>
      <c r="EH378" s="236"/>
      <c r="EI378" s="217"/>
      <c r="EJ378" s="237"/>
      <c r="EK378" s="217"/>
      <c r="EL378" s="217"/>
      <c r="EM378" s="238"/>
      <c r="EN378" s="236"/>
      <c r="EO378" s="239"/>
      <c r="EP378" s="236"/>
      <c r="EQ378" s="217"/>
      <c r="ER378" s="217"/>
      <c r="ES378" s="236"/>
      <c r="ET378" s="236"/>
      <c r="EU378" s="236"/>
      <c r="EV378" s="239"/>
      <c r="EW378" s="236"/>
      <c r="EX378" s="217"/>
      <c r="EY378" s="240"/>
      <c r="EZ378" s="241"/>
      <c r="FA378" s="240"/>
      <c r="FB378" s="241"/>
      <c r="FC378" s="240"/>
      <c r="FD378" s="217"/>
      <c r="FE378" s="240"/>
      <c r="FF378" s="217"/>
      <c r="FG378" s="217"/>
      <c r="FH378" s="217"/>
      <c r="FI378" s="217"/>
      <c r="FJ378" s="217"/>
      <c r="FK378" s="240"/>
      <c r="FL378" s="217"/>
      <c r="FM378" s="240"/>
      <c r="FN378" s="217"/>
      <c r="FO378" s="240"/>
      <c r="FP378" s="217"/>
      <c r="FQ378" s="240"/>
      <c r="FR378" s="217"/>
      <c r="FS378" s="236"/>
      <c r="FT378" s="236"/>
      <c r="FU378" s="236"/>
      <c r="FV378" s="236"/>
      <c r="FW378" s="239"/>
      <c r="FX378" s="236"/>
      <c r="FY378" s="217"/>
      <c r="FZ378" s="240"/>
      <c r="GA378" s="217"/>
      <c r="GB378" s="242"/>
      <c r="GC378" s="217"/>
      <c r="GD378" s="240"/>
      <c r="GE378" s="240"/>
      <c r="GF378" s="240"/>
      <c r="GG378" s="240"/>
      <c r="GH378" s="240"/>
      <c r="GI378" s="217"/>
      <c r="GJ378" s="217"/>
      <c r="GK378" s="239"/>
      <c r="GL378" s="243"/>
    </row>
    <row r="379" ht="15.75" customHeight="1">
      <c r="A379" s="229"/>
      <c r="B379" s="258"/>
      <c r="C379" s="259"/>
      <c r="D379" s="260"/>
      <c r="E379" s="229"/>
      <c r="F379" s="261"/>
      <c r="G379" s="261"/>
      <c r="H379" s="262"/>
      <c r="I379" s="259"/>
      <c r="J379" s="259"/>
      <c r="K379" s="229"/>
      <c r="L379" s="229"/>
      <c r="M379" s="229"/>
      <c r="N379" s="229"/>
      <c r="O379" s="229"/>
      <c r="P379" s="217"/>
      <c r="Q379" s="229"/>
      <c r="R379" s="218"/>
      <c r="S379" s="265"/>
      <c r="T379" s="220"/>
      <c r="U379" s="220"/>
      <c r="V379" s="221"/>
      <c r="W379" s="220"/>
      <c r="X379" s="222"/>
      <c r="Y379" s="222"/>
      <c r="Z379" s="229"/>
      <c r="AA379" s="229"/>
      <c r="AB379" s="229"/>
      <c r="AC379" s="229"/>
      <c r="AD379" s="229"/>
      <c r="AE379" s="229"/>
      <c r="AF379" s="229"/>
      <c r="AG379" s="264"/>
      <c r="AH379" s="224"/>
      <c r="AI379" s="264"/>
      <c r="AJ379" s="224"/>
      <c r="AK379" s="237"/>
      <c r="AL379" s="258"/>
      <c r="AM379" s="258"/>
      <c r="AN379" s="229"/>
      <c r="AO379" s="229"/>
      <c r="AP379" s="229"/>
      <c r="AQ379" s="259"/>
      <c r="AR379" s="259"/>
      <c r="AS379" s="229"/>
      <c r="AT379" s="229"/>
      <c r="AU379" s="229"/>
      <c r="AV379" s="229"/>
      <c r="AW379" s="264"/>
      <c r="AX379" s="264"/>
      <c r="AY379" s="264"/>
      <c r="AZ379" s="264"/>
      <c r="BA379" s="219"/>
      <c r="BB379" s="219"/>
      <c r="BC379" s="229"/>
      <c r="BD379" s="229"/>
      <c r="BE379" s="217"/>
      <c r="BF379" s="229"/>
      <c r="BG379" s="258"/>
      <c r="BH379" s="258"/>
      <c r="BI379" s="229"/>
      <c r="BJ379" s="229"/>
      <c r="BK379" s="229"/>
      <c r="BL379" s="229"/>
      <c r="BM379" s="258"/>
      <c r="BN379" s="258"/>
      <c r="BO379" s="258"/>
      <c r="BP379" s="258"/>
      <c r="BQ379" s="229"/>
      <c r="BR379" s="258"/>
      <c r="BS379" s="258"/>
      <c r="BT379" s="258"/>
      <c r="BU379" s="258"/>
      <c r="BV379" s="229"/>
      <c r="BW379" s="229"/>
      <c r="BX379" s="241"/>
      <c r="BY379" s="241"/>
      <c r="BZ379" s="241"/>
      <c r="CA379" s="217"/>
      <c r="CB379" s="217"/>
      <c r="CC379" s="229"/>
      <c r="CD379" s="217"/>
      <c r="CE379" s="217"/>
      <c r="CF379" s="217"/>
      <c r="CG379" s="217"/>
      <c r="CH379" s="217"/>
      <c r="CI379" s="229"/>
      <c r="CJ379" s="217"/>
      <c r="CK379" s="217"/>
      <c r="CL379" s="217"/>
      <c r="CM379" s="217"/>
      <c r="CN379" s="217"/>
      <c r="CO379" s="229"/>
      <c r="CP379" s="217"/>
      <c r="CQ379" s="217"/>
      <c r="CR379" s="217"/>
      <c r="CS379" s="217"/>
      <c r="CT379" s="217"/>
      <c r="CU379" s="229"/>
      <c r="CV379" s="217"/>
      <c r="CW379" s="217"/>
      <c r="CX379" s="217"/>
      <c r="CY379" s="217"/>
      <c r="CZ379" s="217"/>
      <c r="DA379" s="229"/>
      <c r="DB379" s="217"/>
      <c r="DC379" s="217"/>
      <c r="DD379" s="217"/>
      <c r="DE379" s="217"/>
      <c r="DF379" s="217"/>
      <c r="DG379" s="229"/>
      <c r="DH379" s="217"/>
      <c r="DI379" s="217"/>
      <c r="DJ379" s="217"/>
      <c r="DK379" s="217"/>
      <c r="DL379" s="217"/>
      <c r="DM379" s="229"/>
      <c r="DN379" s="217"/>
      <c r="DO379" s="217"/>
      <c r="DP379" s="217"/>
      <c r="DQ379" s="217"/>
      <c r="DR379" s="217"/>
      <c r="DS379" s="229"/>
      <c r="DT379" s="229"/>
      <c r="DU379" s="229"/>
      <c r="DV379" s="217"/>
      <c r="DW379" s="217"/>
      <c r="DX379" s="230"/>
      <c r="DY379" s="231"/>
      <c r="DZ379" s="231"/>
      <c r="EA379" s="230"/>
      <c r="EB379" s="232"/>
      <c r="EC379" s="217"/>
      <c r="ED379" s="233"/>
      <c r="EE379" s="234"/>
      <c r="EF379" s="235"/>
      <c r="EG379" s="233"/>
      <c r="EH379" s="236"/>
      <c r="EI379" s="217"/>
      <c r="EJ379" s="237"/>
      <c r="EK379" s="217"/>
      <c r="EL379" s="217"/>
      <c r="EM379" s="238"/>
      <c r="EN379" s="236"/>
      <c r="EO379" s="239"/>
      <c r="EP379" s="236"/>
      <c r="EQ379" s="217"/>
      <c r="ER379" s="217"/>
      <c r="ES379" s="236"/>
      <c r="ET379" s="236"/>
      <c r="EU379" s="236"/>
      <c r="EV379" s="239"/>
      <c r="EW379" s="236"/>
      <c r="EX379" s="217"/>
      <c r="EY379" s="240"/>
      <c r="EZ379" s="241"/>
      <c r="FA379" s="240"/>
      <c r="FB379" s="241"/>
      <c r="FC379" s="240"/>
      <c r="FD379" s="217"/>
      <c r="FE379" s="240"/>
      <c r="FF379" s="217"/>
      <c r="FG379" s="217"/>
      <c r="FH379" s="217"/>
      <c r="FI379" s="217"/>
      <c r="FJ379" s="217"/>
      <c r="FK379" s="240"/>
      <c r="FL379" s="217"/>
      <c r="FM379" s="240"/>
      <c r="FN379" s="217"/>
      <c r="FO379" s="240"/>
      <c r="FP379" s="217"/>
      <c r="FQ379" s="240"/>
      <c r="FR379" s="217"/>
      <c r="FS379" s="236"/>
      <c r="FT379" s="236"/>
      <c r="FU379" s="236"/>
      <c r="FV379" s="236"/>
      <c r="FW379" s="239"/>
      <c r="FX379" s="236"/>
      <c r="FY379" s="217"/>
      <c r="FZ379" s="240"/>
      <c r="GA379" s="217"/>
      <c r="GB379" s="242"/>
      <c r="GC379" s="217"/>
      <c r="GD379" s="240"/>
      <c r="GE379" s="240"/>
      <c r="GF379" s="240"/>
      <c r="GG379" s="240"/>
      <c r="GH379" s="240"/>
      <c r="GI379" s="217"/>
      <c r="GJ379" s="217"/>
      <c r="GK379" s="239"/>
      <c r="GL379" s="243"/>
    </row>
    <row r="380" ht="15.75" customHeight="1">
      <c r="A380" s="229"/>
      <c r="B380" s="258"/>
      <c r="C380" s="259"/>
      <c r="D380" s="260"/>
      <c r="E380" s="229"/>
      <c r="F380" s="261"/>
      <c r="G380" s="261"/>
      <c r="H380" s="262"/>
      <c r="I380" s="259"/>
      <c r="J380" s="259"/>
      <c r="K380" s="229"/>
      <c r="L380" s="229"/>
      <c r="M380" s="229"/>
      <c r="N380" s="229"/>
      <c r="O380" s="229"/>
      <c r="P380" s="217"/>
      <c r="Q380" s="229"/>
      <c r="R380" s="218"/>
      <c r="S380" s="265"/>
      <c r="T380" s="220"/>
      <c r="U380" s="220"/>
      <c r="V380" s="221"/>
      <c r="W380" s="220"/>
      <c r="X380" s="222"/>
      <c r="Y380" s="222"/>
      <c r="Z380" s="229"/>
      <c r="AA380" s="229"/>
      <c r="AB380" s="229"/>
      <c r="AC380" s="229"/>
      <c r="AD380" s="229"/>
      <c r="AE380" s="229"/>
      <c r="AF380" s="229"/>
      <c r="AG380" s="264"/>
      <c r="AH380" s="224"/>
      <c r="AI380" s="264"/>
      <c r="AJ380" s="224"/>
      <c r="AK380" s="237"/>
      <c r="AL380" s="258"/>
      <c r="AM380" s="258"/>
      <c r="AN380" s="229"/>
      <c r="AO380" s="229"/>
      <c r="AP380" s="229"/>
      <c r="AQ380" s="259"/>
      <c r="AR380" s="259"/>
      <c r="AS380" s="229"/>
      <c r="AT380" s="229"/>
      <c r="AU380" s="229"/>
      <c r="AV380" s="229"/>
      <c r="AW380" s="264"/>
      <c r="AX380" s="264"/>
      <c r="AY380" s="264"/>
      <c r="AZ380" s="264"/>
      <c r="BA380" s="219"/>
      <c r="BB380" s="219"/>
      <c r="BC380" s="229"/>
      <c r="BD380" s="229"/>
      <c r="BE380" s="217"/>
      <c r="BF380" s="229"/>
      <c r="BG380" s="258"/>
      <c r="BH380" s="258"/>
      <c r="BI380" s="229"/>
      <c r="BJ380" s="229"/>
      <c r="BK380" s="229"/>
      <c r="BL380" s="229"/>
      <c r="BM380" s="258"/>
      <c r="BN380" s="258"/>
      <c r="BO380" s="258"/>
      <c r="BP380" s="258"/>
      <c r="BQ380" s="229"/>
      <c r="BR380" s="258"/>
      <c r="BS380" s="258"/>
      <c r="BT380" s="258"/>
      <c r="BU380" s="258"/>
      <c r="BV380" s="229"/>
      <c r="BW380" s="229"/>
      <c r="BX380" s="241"/>
      <c r="BY380" s="241"/>
      <c r="BZ380" s="241"/>
      <c r="CA380" s="217"/>
      <c r="CB380" s="217"/>
      <c r="CC380" s="229"/>
      <c r="CD380" s="217"/>
      <c r="CE380" s="217"/>
      <c r="CF380" s="217"/>
      <c r="CG380" s="217"/>
      <c r="CH380" s="217"/>
      <c r="CI380" s="229"/>
      <c r="CJ380" s="217"/>
      <c r="CK380" s="217"/>
      <c r="CL380" s="217"/>
      <c r="CM380" s="217"/>
      <c r="CN380" s="217"/>
      <c r="CO380" s="229"/>
      <c r="CP380" s="217"/>
      <c r="CQ380" s="217"/>
      <c r="CR380" s="217"/>
      <c r="CS380" s="217"/>
      <c r="CT380" s="217"/>
      <c r="CU380" s="229"/>
      <c r="CV380" s="217"/>
      <c r="CW380" s="217"/>
      <c r="CX380" s="217"/>
      <c r="CY380" s="217"/>
      <c r="CZ380" s="217"/>
      <c r="DA380" s="229"/>
      <c r="DB380" s="217"/>
      <c r="DC380" s="217"/>
      <c r="DD380" s="217"/>
      <c r="DE380" s="217"/>
      <c r="DF380" s="217"/>
      <c r="DG380" s="229"/>
      <c r="DH380" s="217"/>
      <c r="DI380" s="217"/>
      <c r="DJ380" s="217"/>
      <c r="DK380" s="217"/>
      <c r="DL380" s="217"/>
      <c r="DM380" s="229"/>
      <c r="DN380" s="217"/>
      <c r="DO380" s="217"/>
      <c r="DP380" s="217"/>
      <c r="DQ380" s="217"/>
      <c r="DR380" s="217"/>
      <c r="DS380" s="229"/>
      <c r="DT380" s="229"/>
      <c r="DU380" s="229"/>
      <c r="DV380" s="217"/>
      <c r="DW380" s="217"/>
      <c r="DX380" s="230"/>
      <c r="DY380" s="231"/>
      <c r="DZ380" s="231"/>
      <c r="EA380" s="230"/>
      <c r="EB380" s="232"/>
      <c r="EC380" s="217"/>
      <c r="ED380" s="233"/>
      <c r="EE380" s="234"/>
      <c r="EF380" s="235"/>
      <c r="EG380" s="233"/>
      <c r="EH380" s="236"/>
      <c r="EI380" s="217"/>
      <c r="EJ380" s="237"/>
      <c r="EK380" s="217"/>
      <c r="EL380" s="217"/>
      <c r="EM380" s="238"/>
      <c r="EN380" s="236"/>
      <c r="EO380" s="239"/>
      <c r="EP380" s="236"/>
      <c r="EQ380" s="217"/>
      <c r="ER380" s="217"/>
      <c r="ES380" s="236"/>
      <c r="ET380" s="236"/>
      <c r="EU380" s="236"/>
      <c r="EV380" s="239"/>
      <c r="EW380" s="236"/>
      <c r="EX380" s="217"/>
      <c r="EY380" s="240"/>
      <c r="EZ380" s="241"/>
      <c r="FA380" s="240"/>
      <c r="FB380" s="241"/>
      <c r="FC380" s="240"/>
      <c r="FD380" s="217"/>
      <c r="FE380" s="240"/>
      <c r="FF380" s="217"/>
      <c r="FG380" s="217"/>
      <c r="FH380" s="217"/>
      <c r="FI380" s="217"/>
      <c r="FJ380" s="217"/>
      <c r="FK380" s="240"/>
      <c r="FL380" s="217"/>
      <c r="FM380" s="240"/>
      <c r="FN380" s="217"/>
      <c r="FO380" s="240"/>
      <c r="FP380" s="217"/>
      <c r="FQ380" s="240"/>
      <c r="FR380" s="217"/>
      <c r="FS380" s="236"/>
      <c r="FT380" s="236"/>
      <c r="FU380" s="236"/>
      <c r="FV380" s="236"/>
      <c r="FW380" s="239"/>
      <c r="FX380" s="236"/>
      <c r="FY380" s="217"/>
      <c r="FZ380" s="240"/>
      <c r="GA380" s="217"/>
      <c r="GB380" s="242"/>
      <c r="GC380" s="217"/>
      <c r="GD380" s="240"/>
      <c r="GE380" s="240"/>
      <c r="GF380" s="240"/>
      <c r="GG380" s="240"/>
      <c r="GH380" s="240"/>
      <c r="GI380" s="217"/>
      <c r="GJ380" s="217"/>
      <c r="GK380" s="239"/>
      <c r="GL380" s="243"/>
    </row>
    <row r="381" ht="15.75" customHeight="1">
      <c r="A381" s="229"/>
      <c r="B381" s="258"/>
      <c r="C381" s="259"/>
      <c r="D381" s="260"/>
      <c r="E381" s="229"/>
      <c r="F381" s="261"/>
      <c r="G381" s="261"/>
      <c r="H381" s="262"/>
      <c r="I381" s="259"/>
      <c r="J381" s="259"/>
      <c r="K381" s="229"/>
      <c r="L381" s="229"/>
      <c r="M381" s="229"/>
      <c r="N381" s="229"/>
      <c r="O381" s="229"/>
      <c r="P381" s="217"/>
      <c r="Q381" s="229"/>
      <c r="R381" s="218"/>
      <c r="S381" s="265"/>
      <c r="T381" s="220"/>
      <c r="U381" s="220"/>
      <c r="V381" s="221"/>
      <c r="W381" s="220"/>
      <c r="X381" s="222"/>
      <c r="Y381" s="222"/>
      <c r="Z381" s="229"/>
      <c r="AA381" s="229"/>
      <c r="AB381" s="229"/>
      <c r="AC381" s="229"/>
      <c r="AD381" s="229"/>
      <c r="AE381" s="229"/>
      <c r="AF381" s="229"/>
      <c r="AG381" s="264"/>
      <c r="AH381" s="224"/>
      <c r="AI381" s="264"/>
      <c r="AJ381" s="224"/>
      <c r="AK381" s="237"/>
      <c r="AL381" s="258"/>
      <c r="AM381" s="258"/>
      <c r="AN381" s="229"/>
      <c r="AO381" s="229"/>
      <c r="AP381" s="229"/>
      <c r="AQ381" s="259"/>
      <c r="AR381" s="259"/>
      <c r="AS381" s="229"/>
      <c r="AT381" s="229"/>
      <c r="AU381" s="229"/>
      <c r="AV381" s="229"/>
      <c r="AW381" s="264"/>
      <c r="AX381" s="264"/>
      <c r="AY381" s="264"/>
      <c r="AZ381" s="264"/>
      <c r="BA381" s="219"/>
      <c r="BB381" s="219"/>
      <c r="BC381" s="229"/>
      <c r="BD381" s="229"/>
      <c r="BE381" s="217"/>
      <c r="BF381" s="229"/>
      <c r="BG381" s="258"/>
      <c r="BH381" s="258"/>
      <c r="BI381" s="229"/>
      <c r="BJ381" s="229"/>
      <c r="BK381" s="229"/>
      <c r="BL381" s="229"/>
      <c r="BM381" s="258"/>
      <c r="BN381" s="258"/>
      <c r="BO381" s="258"/>
      <c r="BP381" s="258"/>
      <c r="BQ381" s="229"/>
      <c r="BR381" s="258"/>
      <c r="BS381" s="258"/>
      <c r="BT381" s="258"/>
      <c r="BU381" s="258"/>
      <c r="BV381" s="229"/>
      <c r="BW381" s="229"/>
      <c r="BX381" s="241"/>
      <c r="BY381" s="241"/>
      <c r="BZ381" s="241"/>
      <c r="CA381" s="217"/>
      <c r="CB381" s="217"/>
      <c r="CC381" s="229"/>
      <c r="CD381" s="217"/>
      <c r="CE381" s="217"/>
      <c r="CF381" s="217"/>
      <c r="CG381" s="217"/>
      <c r="CH381" s="217"/>
      <c r="CI381" s="229"/>
      <c r="CJ381" s="217"/>
      <c r="CK381" s="217"/>
      <c r="CL381" s="217"/>
      <c r="CM381" s="217"/>
      <c r="CN381" s="217"/>
      <c r="CO381" s="229"/>
      <c r="CP381" s="217"/>
      <c r="CQ381" s="217"/>
      <c r="CR381" s="217"/>
      <c r="CS381" s="217"/>
      <c r="CT381" s="217"/>
      <c r="CU381" s="229"/>
      <c r="CV381" s="217"/>
      <c r="CW381" s="217"/>
      <c r="CX381" s="217"/>
      <c r="CY381" s="217"/>
      <c r="CZ381" s="217"/>
      <c r="DA381" s="229"/>
      <c r="DB381" s="217"/>
      <c r="DC381" s="217"/>
      <c r="DD381" s="217"/>
      <c r="DE381" s="217"/>
      <c r="DF381" s="217"/>
      <c r="DG381" s="229"/>
      <c r="DH381" s="217"/>
      <c r="DI381" s="217"/>
      <c r="DJ381" s="217"/>
      <c r="DK381" s="217"/>
      <c r="DL381" s="217"/>
      <c r="DM381" s="229"/>
      <c r="DN381" s="217"/>
      <c r="DO381" s="217"/>
      <c r="DP381" s="217"/>
      <c r="DQ381" s="217"/>
      <c r="DR381" s="217"/>
      <c r="DS381" s="229"/>
      <c r="DT381" s="229"/>
      <c r="DU381" s="229"/>
      <c r="DV381" s="217"/>
      <c r="DW381" s="217"/>
      <c r="DX381" s="230"/>
      <c r="DY381" s="231"/>
      <c r="DZ381" s="231"/>
      <c r="EA381" s="230"/>
      <c r="EB381" s="232"/>
      <c r="EC381" s="217"/>
      <c r="ED381" s="233"/>
      <c r="EE381" s="234"/>
      <c r="EF381" s="235"/>
      <c r="EG381" s="233"/>
      <c r="EH381" s="236"/>
      <c r="EI381" s="217"/>
      <c r="EJ381" s="237"/>
      <c r="EK381" s="217"/>
      <c r="EL381" s="217"/>
      <c r="EM381" s="238"/>
      <c r="EN381" s="236"/>
      <c r="EO381" s="239"/>
      <c r="EP381" s="236"/>
      <c r="EQ381" s="217"/>
      <c r="ER381" s="217"/>
      <c r="ES381" s="236"/>
      <c r="ET381" s="236"/>
      <c r="EU381" s="236"/>
      <c r="EV381" s="239"/>
      <c r="EW381" s="236"/>
      <c r="EX381" s="217"/>
      <c r="EY381" s="240"/>
      <c r="EZ381" s="241"/>
      <c r="FA381" s="240"/>
      <c r="FB381" s="241"/>
      <c r="FC381" s="240"/>
      <c r="FD381" s="217"/>
      <c r="FE381" s="240"/>
      <c r="FF381" s="217"/>
      <c r="FG381" s="217"/>
      <c r="FH381" s="217"/>
      <c r="FI381" s="217"/>
      <c r="FJ381" s="217"/>
      <c r="FK381" s="240"/>
      <c r="FL381" s="217"/>
      <c r="FM381" s="240"/>
      <c r="FN381" s="217"/>
      <c r="FO381" s="240"/>
      <c r="FP381" s="217"/>
      <c r="FQ381" s="240"/>
      <c r="FR381" s="217"/>
      <c r="FS381" s="236"/>
      <c r="FT381" s="236"/>
      <c r="FU381" s="236"/>
      <c r="FV381" s="236"/>
      <c r="FW381" s="239"/>
      <c r="FX381" s="236"/>
      <c r="FY381" s="217"/>
      <c r="FZ381" s="240"/>
      <c r="GA381" s="217"/>
      <c r="GB381" s="242"/>
      <c r="GC381" s="217"/>
      <c r="GD381" s="240"/>
      <c r="GE381" s="240"/>
      <c r="GF381" s="240"/>
      <c r="GG381" s="240"/>
      <c r="GH381" s="240"/>
      <c r="GI381" s="217"/>
      <c r="GJ381" s="217"/>
      <c r="GK381" s="239"/>
      <c r="GL381" s="243"/>
    </row>
    <row r="382" ht="15.75" customHeight="1">
      <c r="A382" s="229"/>
      <c r="B382" s="258"/>
      <c r="C382" s="259"/>
      <c r="D382" s="260"/>
      <c r="E382" s="229"/>
      <c r="F382" s="261"/>
      <c r="G382" s="261"/>
      <c r="H382" s="262"/>
      <c r="I382" s="259"/>
      <c r="J382" s="259"/>
      <c r="K382" s="229"/>
      <c r="L382" s="229"/>
      <c r="M382" s="229"/>
      <c r="N382" s="229"/>
      <c r="O382" s="229"/>
      <c r="P382" s="217"/>
      <c r="Q382" s="229"/>
      <c r="R382" s="218"/>
      <c r="S382" s="265"/>
      <c r="T382" s="220"/>
      <c r="U382" s="220"/>
      <c r="V382" s="221"/>
      <c r="W382" s="220"/>
      <c r="X382" s="222"/>
      <c r="Y382" s="222"/>
      <c r="Z382" s="229"/>
      <c r="AA382" s="229"/>
      <c r="AB382" s="229"/>
      <c r="AC382" s="229"/>
      <c r="AD382" s="229"/>
      <c r="AE382" s="229"/>
      <c r="AF382" s="229"/>
      <c r="AG382" s="264"/>
      <c r="AH382" s="224"/>
      <c r="AI382" s="264"/>
      <c r="AJ382" s="224"/>
      <c r="AK382" s="237"/>
      <c r="AL382" s="258"/>
      <c r="AM382" s="258"/>
      <c r="AN382" s="229"/>
      <c r="AO382" s="229"/>
      <c r="AP382" s="229"/>
      <c r="AQ382" s="259"/>
      <c r="AR382" s="259"/>
      <c r="AS382" s="229"/>
      <c r="AT382" s="229"/>
      <c r="AU382" s="229"/>
      <c r="AV382" s="229"/>
      <c r="AW382" s="264"/>
      <c r="AX382" s="264"/>
      <c r="AY382" s="264"/>
      <c r="AZ382" s="264"/>
      <c r="BA382" s="219"/>
      <c r="BB382" s="219"/>
      <c r="BC382" s="229"/>
      <c r="BD382" s="229"/>
      <c r="BE382" s="217"/>
      <c r="BF382" s="229"/>
      <c r="BG382" s="258"/>
      <c r="BH382" s="258"/>
      <c r="BI382" s="229"/>
      <c r="BJ382" s="229"/>
      <c r="BK382" s="229"/>
      <c r="BL382" s="229"/>
      <c r="BM382" s="258"/>
      <c r="BN382" s="258"/>
      <c r="BO382" s="258"/>
      <c r="BP382" s="258"/>
      <c r="BQ382" s="229"/>
      <c r="BR382" s="258"/>
      <c r="BS382" s="258"/>
      <c r="BT382" s="258"/>
      <c r="BU382" s="258"/>
      <c r="BV382" s="229"/>
      <c r="BW382" s="229"/>
      <c r="BX382" s="241"/>
      <c r="BY382" s="241"/>
      <c r="BZ382" s="241"/>
      <c r="CA382" s="217"/>
      <c r="CB382" s="217"/>
      <c r="CC382" s="229"/>
      <c r="CD382" s="217"/>
      <c r="CE382" s="217"/>
      <c r="CF382" s="217"/>
      <c r="CG382" s="217"/>
      <c r="CH382" s="217"/>
      <c r="CI382" s="229"/>
      <c r="CJ382" s="217"/>
      <c r="CK382" s="217"/>
      <c r="CL382" s="217"/>
      <c r="CM382" s="217"/>
      <c r="CN382" s="217"/>
      <c r="CO382" s="229"/>
      <c r="CP382" s="217"/>
      <c r="CQ382" s="217"/>
      <c r="CR382" s="217"/>
      <c r="CS382" s="217"/>
      <c r="CT382" s="217"/>
      <c r="CU382" s="229"/>
      <c r="CV382" s="217"/>
      <c r="CW382" s="217"/>
      <c r="CX382" s="217"/>
      <c r="CY382" s="217"/>
      <c r="CZ382" s="217"/>
      <c r="DA382" s="229"/>
      <c r="DB382" s="217"/>
      <c r="DC382" s="217"/>
      <c r="DD382" s="217"/>
      <c r="DE382" s="217"/>
      <c r="DF382" s="217"/>
      <c r="DG382" s="229"/>
      <c r="DH382" s="217"/>
      <c r="DI382" s="217"/>
      <c r="DJ382" s="217"/>
      <c r="DK382" s="217"/>
      <c r="DL382" s="217"/>
      <c r="DM382" s="229"/>
      <c r="DN382" s="217"/>
      <c r="DO382" s="217"/>
      <c r="DP382" s="217"/>
      <c r="DQ382" s="217"/>
      <c r="DR382" s="217"/>
      <c r="DS382" s="229"/>
      <c r="DT382" s="229"/>
      <c r="DU382" s="229"/>
      <c r="DV382" s="217"/>
      <c r="DW382" s="217"/>
      <c r="DX382" s="230"/>
      <c r="DY382" s="231"/>
      <c r="DZ382" s="231"/>
      <c r="EA382" s="230"/>
      <c r="EB382" s="232"/>
      <c r="EC382" s="217"/>
      <c r="ED382" s="233"/>
      <c r="EE382" s="234"/>
      <c r="EF382" s="235"/>
      <c r="EG382" s="233"/>
      <c r="EH382" s="236"/>
      <c r="EI382" s="217"/>
      <c r="EJ382" s="237"/>
      <c r="EK382" s="217"/>
      <c r="EL382" s="217"/>
      <c r="EM382" s="238"/>
      <c r="EN382" s="236"/>
      <c r="EO382" s="239"/>
      <c r="EP382" s="236"/>
      <c r="EQ382" s="217"/>
      <c r="ER382" s="217"/>
      <c r="ES382" s="236"/>
      <c r="ET382" s="236"/>
      <c r="EU382" s="236"/>
      <c r="EV382" s="239"/>
      <c r="EW382" s="236"/>
      <c r="EX382" s="217"/>
      <c r="EY382" s="240"/>
      <c r="EZ382" s="241"/>
      <c r="FA382" s="240"/>
      <c r="FB382" s="241"/>
      <c r="FC382" s="240"/>
      <c r="FD382" s="217"/>
      <c r="FE382" s="240"/>
      <c r="FF382" s="217"/>
      <c r="FG382" s="217"/>
      <c r="FH382" s="217"/>
      <c r="FI382" s="217"/>
      <c r="FJ382" s="217"/>
      <c r="FK382" s="240"/>
      <c r="FL382" s="217"/>
      <c r="FM382" s="240"/>
      <c r="FN382" s="217"/>
      <c r="FO382" s="240"/>
      <c r="FP382" s="217"/>
      <c r="FQ382" s="240"/>
      <c r="FR382" s="217"/>
      <c r="FS382" s="236"/>
      <c r="FT382" s="236"/>
      <c r="FU382" s="236"/>
      <c r="FV382" s="236"/>
      <c r="FW382" s="239"/>
      <c r="FX382" s="236"/>
      <c r="FY382" s="217"/>
      <c r="FZ382" s="240"/>
      <c r="GA382" s="217"/>
      <c r="GB382" s="242"/>
      <c r="GC382" s="217"/>
      <c r="GD382" s="240"/>
      <c r="GE382" s="240"/>
      <c r="GF382" s="240"/>
      <c r="GG382" s="240"/>
      <c r="GH382" s="240"/>
      <c r="GI382" s="217"/>
      <c r="GJ382" s="217"/>
      <c r="GK382" s="239"/>
      <c r="GL382" s="243"/>
    </row>
    <row r="383" ht="15.75" customHeight="1">
      <c r="A383" s="229"/>
      <c r="B383" s="258"/>
      <c r="C383" s="259"/>
      <c r="D383" s="260"/>
      <c r="E383" s="229"/>
      <c r="F383" s="261"/>
      <c r="G383" s="261"/>
      <c r="H383" s="262"/>
      <c r="I383" s="259"/>
      <c r="J383" s="259"/>
      <c r="K383" s="229"/>
      <c r="L383" s="229"/>
      <c r="M383" s="229"/>
      <c r="N383" s="229"/>
      <c r="O383" s="229"/>
      <c r="P383" s="217"/>
      <c r="Q383" s="229"/>
      <c r="R383" s="218"/>
      <c r="S383" s="265"/>
      <c r="T383" s="220"/>
      <c r="U383" s="220"/>
      <c r="V383" s="221"/>
      <c r="W383" s="220"/>
      <c r="X383" s="222"/>
      <c r="Y383" s="222"/>
      <c r="Z383" s="229"/>
      <c r="AA383" s="229"/>
      <c r="AB383" s="229"/>
      <c r="AC383" s="229"/>
      <c r="AD383" s="229"/>
      <c r="AE383" s="229"/>
      <c r="AF383" s="229"/>
      <c r="AG383" s="264"/>
      <c r="AH383" s="224"/>
      <c r="AI383" s="264"/>
      <c r="AJ383" s="224"/>
      <c r="AK383" s="237"/>
      <c r="AL383" s="258"/>
      <c r="AM383" s="258"/>
      <c r="AN383" s="229"/>
      <c r="AO383" s="229"/>
      <c r="AP383" s="229"/>
      <c r="AQ383" s="259"/>
      <c r="AR383" s="259"/>
      <c r="AS383" s="229"/>
      <c r="AT383" s="229"/>
      <c r="AU383" s="229"/>
      <c r="AV383" s="229"/>
      <c r="AW383" s="264"/>
      <c r="AX383" s="264"/>
      <c r="AY383" s="264"/>
      <c r="AZ383" s="264"/>
      <c r="BA383" s="219"/>
      <c r="BB383" s="219"/>
      <c r="BC383" s="229"/>
      <c r="BD383" s="229"/>
      <c r="BE383" s="217"/>
      <c r="BF383" s="229"/>
      <c r="BG383" s="258"/>
      <c r="BH383" s="258"/>
      <c r="BI383" s="229"/>
      <c r="BJ383" s="229"/>
      <c r="BK383" s="229"/>
      <c r="BL383" s="229"/>
      <c r="BM383" s="258"/>
      <c r="BN383" s="258"/>
      <c r="BO383" s="258"/>
      <c r="BP383" s="258"/>
      <c r="BQ383" s="229"/>
      <c r="BR383" s="258"/>
      <c r="BS383" s="258"/>
      <c r="BT383" s="258"/>
      <c r="BU383" s="258"/>
      <c r="BV383" s="229"/>
      <c r="BW383" s="229"/>
      <c r="BX383" s="241"/>
      <c r="BY383" s="241"/>
      <c r="BZ383" s="241"/>
      <c r="CA383" s="217"/>
      <c r="CB383" s="217"/>
      <c r="CC383" s="229"/>
      <c r="CD383" s="217"/>
      <c r="CE383" s="217"/>
      <c r="CF383" s="217"/>
      <c r="CG383" s="217"/>
      <c r="CH383" s="217"/>
      <c r="CI383" s="229"/>
      <c r="CJ383" s="217"/>
      <c r="CK383" s="217"/>
      <c r="CL383" s="217"/>
      <c r="CM383" s="217"/>
      <c r="CN383" s="217"/>
      <c r="CO383" s="229"/>
      <c r="CP383" s="217"/>
      <c r="CQ383" s="217"/>
      <c r="CR383" s="217"/>
      <c r="CS383" s="217"/>
      <c r="CT383" s="217"/>
      <c r="CU383" s="229"/>
      <c r="CV383" s="217"/>
      <c r="CW383" s="217"/>
      <c r="CX383" s="217"/>
      <c r="CY383" s="217"/>
      <c r="CZ383" s="217"/>
      <c r="DA383" s="229"/>
      <c r="DB383" s="217"/>
      <c r="DC383" s="217"/>
      <c r="DD383" s="217"/>
      <c r="DE383" s="217"/>
      <c r="DF383" s="217"/>
      <c r="DG383" s="229"/>
      <c r="DH383" s="217"/>
      <c r="DI383" s="217"/>
      <c r="DJ383" s="217"/>
      <c r="DK383" s="217"/>
      <c r="DL383" s="217"/>
      <c r="DM383" s="229"/>
      <c r="DN383" s="217"/>
      <c r="DO383" s="217"/>
      <c r="DP383" s="217"/>
      <c r="DQ383" s="217"/>
      <c r="DR383" s="217"/>
      <c r="DS383" s="229"/>
      <c r="DT383" s="229"/>
      <c r="DU383" s="229"/>
      <c r="DV383" s="217"/>
      <c r="DW383" s="217"/>
      <c r="DX383" s="230"/>
      <c r="DY383" s="231"/>
      <c r="DZ383" s="231"/>
      <c r="EA383" s="230"/>
      <c r="EB383" s="232"/>
      <c r="EC383" s="217"/>
      <c r="ED383" s="233"/>
      <c r="EE383" s="234"/>
      <c r="EF383" s="235"/>
      <c r="EG383" s="233"/>
      <c r="EH383" s="236"/>
      <c r="EI383" s="217"/>
      <c r="EJ383" s="237"/>
      <c r="EK383" s="217"/>
      <c r="EL383" s="217"/>
      <c r="EM383" s="238"/>
      <c r="EN383" s="236"/>
      <c r="EO383" s="239"/>
      <c r="EP383" s="236"/>
      <c r="EQ383" s="217"/>
      <c r="ER383" s="217"/>
      <c r="ES383" s="236"/>
      <c r="ET383" s="236"/>
      <c r="EU383" s="236"/>
      <c r="EV383" s="239"/>
      <c r="EW383" s="236"/>
      <c r="EX383" s="217"/>
      <c r="EY383" s="240"/>
      <c r="EZ383" s="241"/>
      <c r="FA383" s="240"/>
      <c r="FB383" s="241"/>
      <c r="FC383" s="240"/>
      <c r="FD383" s="217"/>
      <c r="FE383" s="240"/>
      <c r="FF383" s="217"/>
      <c r="FG383" s="217"/>
      <c r="FH383" s="217"/>
      <c r="FI383" s="217"/>
      <c r="FJ383" s="217"/>
      <c r="FK383" s="240"/>
      <c r="FL383" s="217"/>
      <c r="FM383" s="240"/>
      <c r="FN383" s="217"/>
      <c r="FO383" s="240"/>
      <c r="FP383" s="217"/>
      <c r="FQ383" s="240"/>
      <c r="FR383" s="217"/>
      <c r="FS383" s="236"/>
      <c r="FT383" s="236"/>
      <c r="FU383" s="236"/>
      <c r="FV383" s="236"/>
      <c r="FW383" s="239"/>
      <c r="FX383" s="236"/>
      <c r="FY383" s="217"/>
      <c r="FZ383" s="240"/>
      <c r="GA383" s="217"/>
      <c r="GB383" s="242"/>
      <c r="GC383" s="217"/>
      <c r="GD383" s="240"/>
      <c r="GE383" s="240"/>
      <c r="GF383" s="240"/>
      <c r="GG383" s="240"/>
      <c r="GH383" s="240"/>
      <c r="GI383" s="217"/>
      <c r="GJ383" s="217"/>
      <c r="GK383" s="239"/>
      <c r="GL383" s="243"/>
    </row>
    <row r="384" ht="15.75" customHeight="1">
      <c r="A384" s="229"/>
      <c r="B384" s="258"/>
      <c r="C384" s="259"/>
      <c r="D384" s="260"/>
      <c r="E384" s="229"/>
      <c r="F384" s="261"/>
      <c r="G384" s="261"/>
      <c r="H384" s="262"/>
      <c r="I384" s="259"/>
      <c r="J384" s="259"/>
      <c r="K384" s="229"/>
      <c r="L384" s="229"/>
      <c r="M384" s="229"/>
      <c r="N384" s="229"/>
      <c r="O384" s="229"/>
      <c r="P384" s="217"/>
      <c r="Q384" s="229"/>
      <c r="R384" s="218"/>
      <c r="S384" s="265"/>
      <c r="T384" s="220"/>
      <c r="U384" s="220"/>
      <c r="V384" s="221"/>
      <c r="W384" s="220"/>
      <c r="X384" s="222"/>
      <c r="Y384" s="222"/>
      <c r="Z384" s="229"/>
      <c r="AA384" s="229"/>
      <c r="AB384" s="229"/>
      <c r="AC384" s="229"/>
      <c r="AD384" s="229"/>
      <c r="AE384" s="229"/>
      <c r="AF384" s="229"/>
      <c r="AG384" s="264"/>
      <c r="AH384" s="224"/>
      <c r="AI384" s="264"/>
      <c r="AJ384" s="224"/>
      <c r="AK384" s="237"/>
      <c r="AL384" s="258"/>
      <c r="AM384" s="258"/>
      <c r="AN384" s="229"/>
      <c r="AO384" s="229"/>
      <c r="AP384" s="229"/>
      <c r="AQ384" s="259"/>
      <c r="AR384" s="259"/>
      <c r="AS384" s="229"/>
      <c r="AT384" s="229"/>
      <c r="AU384" s="229"/>
      <c r="AV384" s="229"/>
      <c r="AW384" s="264"/>
      <c r="AX384" s="264"/>
      <c r="AY384" s="264"/>
      <c r="AZ384" s="264"/>
      <c r="BA384" s="219"/>
      <c r="BB384" s="219"/>
      <c r="BC384" s="229"/>
      <c r="BD384" s="229"/>
      <c r="BE384" s="217"/>
      <c r="BF384" s="229"/>
      <c r="BG384" s="258"/>
      <c r="BH384" s="258"/>
      <c r="BI384" s="229"/>
      <c r="BJ384" s="229"/>
      <c r="BK384" s="229"/>
      <c r="BL384" s="229"/>
      <c r="BM384" s="258"/>
      <c r="BN384" s="258"/>
      <c r="BO384" s="258"/>
      <c r="BP384" s="258"/>
      <c r="BQ384" s="229"/>
      <c r="BR384" s="258"/>
      <c r="BS384" s="258"/>
      <c r="BT384" s="258"/>
      <c r="BU384" s="258"/>
      <c r="BV384" s="229"/>
      <c r="BW384" s="229"/>
      <c r="BX384" s="241"/>
      <c r="BY384" s="241"/>
      <c r="BZ384" s="241"/>
      <c r="CA384" s="217"/>
      <c r="CB384" s="217"/>
      <c r="CC384" s="229"/>
      <c r="CD384" s="217"/>
      <c r="CE384" s="217"/>
      <c r="CF384" s="217"/>
      <c r="CG384" s="217"/>
      <c r="CH384" s="217"/>
      <c r="CI384" s="229"/>
      <c r="CJ384" s="217"/>
      <c r="CK384" s="217"/>
      <c r="CL384" s="217"/>
      <c r="CM384" s="217"/>
      <c r="CN384" s="217"/>
      <c r="CO384" s="229"/>
      <c r="CP384" s="217"/>
      <c r="CQ384" s="217"/>
      <c r="CR384" s="217"/>
      <c r="CS384" s="217"/>
      <c r="CT384" s="217"/>
      <c r="CU384" s="229"/>
      <c r="CV384" s="217"/>
      <c r="CW384" s="217"/>
      <c r="CX384" s="217"/>
      <c r="CY384" s="217"/>
      <c r="CZ384" s="217"/>
      <c r="DA384" s="229"/>
      <c r="DB384" s="217"/>
      <c r="DC384" s="217"/>
      <c r="DD384" s="217"/>
      <c r="DE384" s="217"/>
      <c r="DF384" s="217"/>
      <c r="DG384" s="229"/>
      <c r="DH384" s="217"/>
      <c r="DI384" s="217"/>
      <c r="DJ384" s="217"/>
      <c r="DK384" s="217"/>
      <c r="DL384" s="217"/>
      <c r="DM384" s="229"/>
      <c r="DN384" s="217"/>
      <c r="DO384" s="217"/>
      <c r="DP384" s="217"/>
      <c r="DQ384" s="217"/>
      <c r="DR384" s="217"/>
      <c r="DS384" s="229"/>
      <c r="DT384" s="229"/>
      <c r="DU384" s="229"/>
      <c r="DV384" s="217"/>
      <c r="DW384" s="217"/>
      <c r="DX384" s="230"/>
      <c r="DY384" s="231"/>
      <c r="DZ384" s="231"/>
      <c r="EA384" s="230"/>
      <c r="EB384" s="232"/>
      <c r="EC384" s="217"/>
      <c r="ED384" s="233"/>
      <c r="EE384" s="234"/>
      <c r="EF384" s="235"/>
      <c r="EG384" s="233"/>
      <c r="EH384" s="236"/>
      <c r="EI384" s="217"/>
      <c r="EJ384" s="237"/>
      <c r="EK384" s="217"/>
      <c r="EL384" s="217"/>
      <c r="EM384" s="238"/>
      <c r="EN384" s="236"/>
      <c r="EO384" s="239"/>
      <c r="EP384" s="236"/>
      <c r="EQ384" s="217"/>
      <c r="ER384" s="217"/>
      <c r="ES384" s="236"/>
      <c r="ET384" s="236"/>
      <c r="EU384" s="236"/>
      <c r="EV384" s="239"/>
      <c r="EW384" s="236"/>
      <c r="EX384" s="217"/>
      <c r="EY384" s="240"/>
      <c r="EZ384" s="241"/>
      <c r="FA384" s="240"/>
      <c r="FB384" s="241"/>
      <c r="FC384" s="240"/>
      <c r="FD384" s="217"/>
      <c r="FE384" s="240"/>
      <c r="FF384" s="217"/>
      <c r="FG384" s="217"/>
      <c r="FH384" s="217"/>
      <c r="FI384" s="217"/>
      <c r="FJ384" s="217"/>
      <c r="FK384" s="240"/>
      <c r="FL384" s="217"/>
      <c r="FM384" s="240"/>
      <c r="FN384" s="217"/>
      <c r="FO384" s="240"/>
      <c r="FP384" s="217"/>
      <c r="FQ384" s="240"/>
      <c r="FR384" s="217"/>
      <c r="FS384" s="236"/>
      <c r="FT384" s="236"/>
      <c r="FU384" s="236"/>
      <c r="FV384" s="236"/>
      <c r="FW384" s="239"/>
      <c r="FX384" s="236"/>
      <c r="FY384" s="217"/>
      <c r="FZ384" s="240"/>
      <c r="GA384" s="217"/>
      <c r="GB384" s="242"/>
      <c r="GC384" s="217"/>
      <c r="GD384" s="240"/>
      <c r="GE384" s="240"/>
      <c r="GF384" s="240"/>
      <c r="GG384" s="240"/>
      <c r="GH384" s="240"/>
      <c r="GI384" s="217"/>
      <c r="GJ384" s="217"/>
      <c r="GK384" s="239"/>
      <c r="GL384" s="243"/>
    </row>
    <row r="385" ht="15.75" customHeight="1">
      <c r="A385" s="229"/>
      <c r="B385" s="258"/>
      <c r="C385" s="259"/>
      <c r="D385" s="260"/>
      <c r="E385" s="229"/>
      <c r="F385" s="261"/>
      <c r="G385" s="261"/>
      <c r="H385" s="262"/>
      <c r="I385" s="259"/>
      <c r="J385" s="259"/>
      <c r="K385" s="229"/>
      <c r="L385" s="229"/>
      <c r="M385" s="229"/>
      <c r="N385" s="229"/>
      <c r="O385" s="229"/>
      <c r="P385" s="217"/>
      <c r="Q385" s="229"/>
      <c r="R385" s="218"/>
      <c r="S385" s="265"/>
      <c r="T385" s="220"/>
      <c r="U385" s="220"/>
      <c r="V385" s="221"/>
      <c r="W385" s="220"/>
      <c r="X385" s="222"/>
      <c r="Y385" s="222"/>
      <c r="Z385" s="229"/>
      <c r="AA385" s="229"/>
      <c r="AB385" s="229"/>
      <c r="AC385" s="229"/>
      <c r="AD385" s="229"/>
      <c r="AE385" s="229"/>
      <c r="AF385" s="229"/>
      <c r="AG385" s="264"/>
      <c r="AH385" s="224"/>
      <c r="AI385" s="264"/>
      <c r="AJ385" s="224"/>
      <c r="AK385" s="237"/>
      <c r="AL385" s="258"/>
      <c r="AM385" s="258"/>
      <c r="AN385" s="229"/>
      <c r="AO385" s="229"/>
      <c r="AP385" s="229"/>
      <c r="AQ385" s="259"/>
      <c r="AR385" s="259"/>
      <c r="AS385" s="229"/>
      <c r="AT385" s="229"/>
      <c r="AU385" s="229"/>
      <c r="AV385" s="229"/>
      <c r="AW385" s="264"/>
      <c r="AX385" s="264"/>
      <c r="AY385" s="264"/>
      <c r="AZ385" s="264"/>
      <c r="BA385" s="219"/>
      <c r="BB385" s="219"/>
      <c r="BC385" s="229"/>
      <c r="BD385" s="229"/>
      <c r="BE385" s="217"/>
      <c r="BF385" s="229"/>
      <c r="BG385" s="258"/>
      <c r="BH385" s="258"/>
      <c r="BI385" s="229"/>
      <c r="BJ385" s="229"/>
      <c r="BK385" s="229"/>
      <c r="BL385" s="229"/>
      <c r="BM385" s="258"/>
      <c r="BN385" s="258"/>
      <c r="BO385" s="258"/>
      <c r="BP385" s="258"/>
      <c r="BQ385" s="229"/>
      <c r="BR385" s="258"/>
      <c r="BS385" s="258"/>
      <c r="BT385" s="258"/>
      <c r="BU385" s="258"/>
      <c r="BV385" s="229"/>
      <c r="BW385" s="229"/>
      <c r="BX385" s="241"/>
      <c r="BY385" s="241"/>
      <c r="BZ385" s="241"/>
      <c r="CA385" s="217"/>
      <c r="CB385" s="217"/>
      <c r="CC385" s="229"/>
      <c r="CD385" s="217"/>
      <c r="CE385" s="217"/>
      <c r="CF385" s="217"/>
      <c r="CG385" s="217"/>
      <c r="CH385" s="217"/>
      <c r="CI385" s="229"/>
      <c r="CJ385" s="217"/>
      <c r="CK385" s="217"/>
      <c r="CL385" s="217"/>
      <c r="CM385" s="217"/>
      <c r="CN385" s="217"/>
      <c r="CO385" s="229"/>
      <c r="CP385" s="217"/>
      <c r="CQ385" s="217"/>
      <c r="CR385" s="217"/>
      <c r="CS385" s="217"/>
      <c r="CT385" s="217"/>
      <c r="CU385" s="229"/>
      <c r="CV385" s="217"/>
      <c r="CW385" s="217"/>
      <c r="CX385" s="217"/>
      <c r="CY385" s="217"/>
      <c r="CZ385" s="217"/>
      <c r="DA385" s="229"/>
      <c r="DB385" s="217"/>
      <c r="DC385" s="217"/>
      <c r="DD385" s="217"/>
      <c r="DE385" s="217"/>
      <c r="DF385" s="217"/>
      <c r="DG385" s="229"/>
      <c r="DH385" s="217"/>
      <c r="DI385" s="217"/>
      <c r="DJ385" s="217"/>
      <c r="DK385" s="217"/>
      <c r="DL385" s="217"/>
      <c r="DM385" s="229"/>
      <c r="DN385" s="217"/>
      <c r="DO385" s="217"/>
      <c r="DP385" s="217"/>
      <c r="DQ385" s="217"/>
      <c r="DR385" s="217"/>
      <c r="DS385" s="229"/>
      <c r="DT385" s="229"/>
      <c r="DU385" s="229"/>
      <c r="DV385" s="217"/>
      <c r="DW385" s="217"/>
      <c r="DX385" s="230"/>
      <c r="DY385" s="231"/>
      <c r="DZ385" s="231"/>
      <c r="EA385" s="230"/>
      <c r="EB385" s="232"/>
      <c r="EC385" s="217"/>
      <c r="ED385" s="233"/>
      <c r="EE385" s="234"/>
      <c r="EF385" s="235"/>
      <c r="EG385" s="233"/>
      <c r="EH385" s="236"/>
      <c r="EI385" s="217"/>
      <c r="EJ385" s="237"/>
      <c r="EK385" s="217"/>
      <c r="EL385" s="217"/>
      <c r="EM385" s="238"/>
      <c r="EN385" s="236"/>
      <c r="EO385" s="239"/>
      <c r="EP385" s="236"/>
      <c r="EQ385" s="217"/>
      <c r="ER385" s="217"/>
      <c r="ES385" s="236"/>
      <c r="ET385" s="236"/>
      <c r="EU385" s="236"/>
      <c r="EV385" s="239"/>
      <c r="EW385" s="236"/>
      <c r="EX385" s="217"/>
      <c r="EY385" s="240"/>
      <c r="EZ385" s="241"/>
      <c r="FA385" s="240"/>
      <c r="FB385" s="241"/>
      <c r="FC385" s="240"/>
      <c r="FD385" s="217"/>
      <c r="FE385" s="240"/>
      <c r="FF385" s="217"/>
      <c r="FG385" s="217"/>
      <c r="FH385" s="217"/>
      <c r="FI385" s="217"/>
      <c r="FJ385" s="217"/>
      <c r="FK385" s="240"/>
      <c r="FL385" s="217"/>
      <c r="FM385" s="240"/>
      <c r="FN385" s="217"/>
      <c r="FO385" s="240"/>
      <c r="FP385" s="217"/>
      <c r="FQ385" s="240"/>
      <c r="FR385" s="217"/>
      <c r="FS385" s="236"/>
      <c r="FT385" s="236"/>
      <c r="FU385" s="236"/>
      <c r="FV385" s="236"/>
      <c r="FW385" s="239"/>
      <c r="FX385" s="236"/>
      <c r="FY385" s="217"/>
      <c r="FZ385" s="240"/>
      <c r="GA385" s="217"/>
      <c r="GB385" s="242"/>
      <c r="GC385" s="217"/>
      <c r="GD385" s="240"/>
      <c r="GE385" s="240"/>
      <c r="GF385" s="240"/>
      <c r="GG385" s="240"/>
      <c r="GH385" s="240"/>
      <c r="GI385" s="217"/>
      <c r="GJ385" s="217"/>
      <c r="GK385" s="239"/>
      <c r="GL385" s="243"/>
    </row>
    <row r="386" ht="15.75" customHeight="1">
      <c r="A386" s="229"/>
      <c r="B386" s="258"/>
      <c r="C386" s="259"/>
      <c r="D386" s="260"/>
      <c r="E386" s="229"/>
      <c r="F386" s="261"/>
      <c r="G386" s="261"/>
      <c r="H386" s="262"/>
      <c r="I386" s="259"/>
      <c r="J386" s="259"/>
      <c r="K386" s="229"/>
      <c r="L386" s="229"/>
      <c r="M386" s="229"/>
      <c r="N386" s="229"/>
      <c r="O386" s="229"/>
      <c r="P386" s="217"/>
      <c r="Q386" s="229"/>
      <c r="R386" s="218"/>
      <c r="S386" s="265"/>
      <c r="T386" s="220"/>
      <c r="U386" s="220"/>
      <c r="V386" s="221"/>
      <c r="W386" s="220"/>
      <c r="X386" s="222"/>
      <c r="Y386" s="222"/>
      <c r="Z386" s="229"/>
      <c r="AA386" s="229"/>
      <c r="AB386" s="229"/>
      <c r="AC386" s="229"/>
      <c r="AD386" s="229"/>
      <c r="AE386" s="229"/>
      <c r="AF386" s="229"/>
      <c r="AG386" s="264"/>
      <c r="AH386" s="224"/>
      <c r="AI386" s="264"/>
      <c r="AJ386" s="224"/>
      <c r="AK386" s="237"/>
      <c r="AL386" s="258"/>
      <c r="AM386" s="258"/>
      <c r="AN386" s="229"/>
      <c r="AO386" s="229"/>
      <c r="AP386" s="229"/>
      <c r="AQ386" s="259"/>
      <c r="AR386" s="259"/>
      <c r="AS386" s="229"/>
      <c r="AT386" s="229"/>
      <c r="AU386" s="229"/>
      <c r="AV386" s="229"/>
      <c r="AW386" s="264"/>
      <c r="AX386" s="264"/>
      <c r="AY386" s="264"/>
      <c r="AZ386" s="264"/>
      <c r="BA386" s="219"/>
      <c r="BB386" s="219"/>
      <c r="BC386" s="229"/>
      <c r="BD386" s="229"/>
      <c r="BE386" s="217"/>
      <c r="BF386" s="229"/>
      <c r="BG386" s="258"/>
      <c r="BH386" s="258"/>
      <c r="BI386" s="229"/>
      <c r="BJ386" s="229"/>
      <c r="BK386" s="229"/>
      <c r="BL386" s="229"/>
      <c r="BM386" s="258"/>
      <c r="BN386" s="258"/>
      <c r="BO386" s="258"/>
      <c r="BP386" s="258"/>
      <c r="BQ386" s="229"/>
      <c r="BR386" s="258"/>
      <c r="BS386" s="258"/>
      <c r="BT386" s="258"/>
      <c r="BU386" s="258"/>
      <c r="BV386" s="229"/>
      <c r="BW386" s="229"/>
      <c r="BX386" s="241"/>
      <c r="BY386" s="241"/>
      <c r="BZ386" s="241"/>
      <c r="CA386" s="217"/>
      <c r="CB386" s="217"/>
      <c r="CC386" s="229"/>
      <c r="CD386" s="217"/>
      <c r="CE386" s="217"/>
      <c r="CF386" s="217"/>
      <c r="CG386" s="217"/>
      <c r="CH386" s="217"/>
      <c r="CI386" s="229"/>
      <c r="CJ386" s="217"/>
      <c r="CK386" s="217"/>
      <c r="CL386" s="217"/>
      <c r="CM386" s="217"/>
      <c r="CN386" s="217"/>
      <c r="CO386" s="229"/>
      <c r="CP386" s="217"/>
      <c r="CQ386" s="217"/>
      <c r="CR386" s="217"/>
      <c r="CS386" s="217"/>
      <c r="CT386" s="217"/>
      <c r="CU386" s="229"/>
      <c r="CV386" s="217"/>
      <c r="CW386" s="217"/>
      <c r="CX386" s="217"/>
      <c r="CY386" s="217"/>
      <c r="CZ386" s="217"/>
      <c r="DA386" s="229"/>
      <c r="DB386" s="217"/>
      <c r="DC386" s="217"/>
      <c r="DD386" s="217"/>
      <c r="DE386" s="217"/>
      <c r="DF386" s="217"/>
      <c r="DG386" s="229"/>
      <c r="DH386" s="217"/>
      <c r="DI386" s="217"/>
      <c r="DJ386" s="217"/>
      <c r="DK386" s="217"/>
      <c r="DL386" s="217"/>
      <c r="DM386" s="229"/>
      <c r="DN386" s="217"/>
      <c r="DO386" s="217"/>
      <c r="DP386" s="217"/>
      <c r="DQ386" s="217"/>
      <c r="DR386" s="217"/>
      <c r="DS386" s="229"/>
      <c r="DT386" s="229"/>
      <c r="DU386" s="229"/>
      <c r="DV386" s="217"/>
      <c r="DW386" s="217"/>
      <c r="DX386" s="230"/>
      <c r="DY386" s="231"/>
      <c r="DZ386" s="231"/>
      <c r="EA386" s="230"/>
      <c r="EB386" s="232"/>
      <c r="EC386" s="217"/>
      <c r="ED386" s="233"/>
      <c r="EE386" s="234"/>
      <c r="EF386" s="235"/>
      <c r="EG386" s="233"/>
      <c r="EH386" s="236"/>
      <c r="EI386" s="217"/>
      <c r="EJ386" s="237"/>
      <c r="EK386" s="217"/>
      <c r="EL386" s="217"/>
      <c r="EM386" s="238"/>
      <c r="EN386" s="236"/>
      <c r="EO386" s="239"/>
      <c r="EP386" s="236"/>
      <c r="EQ386" s="217"/>
      <c r="ER386" s="217"/>
      <c r="ES386" s="236"/>
      <c r="ET386" s="236"/>
      <c r="EU386" s="236"/>
      <c r="EV386" s="239"/>
      <c r="EW386" s="236"/>
      <c r="EX386" s="217"/>
      <c r="EY386" s="240"/>
      <c r="EZ386" s="241"/>
      <c r="FA386" s="240"/>
      <c r="FB386" s="241"/>
      <c r="FC386" s="240"/>
      <c r="FD386" s="217"/>
      <c r="FE386" s="240"/>
      <c r="FF386" s="217"/>
      <c r="FG386" s="217"/>
      <c r="FH386" s="217"/>
      <c r="FI386" s="217"/>
      <c r="FJ386" s="217"/>
      <c r="FK386" s="240"/>
      <c r="FL386" s="217"/>
      <c r="FM386" s="240"/>
      <c r="FN386" s="217"/>
      <c r="FO386" s="240"/>
      <c r="FP386" s="217"/>
      <c r="FQ386" s="240"/>
      <c r="FR386" s="217"/>
      <c r="FS386" s="236"/>
      <c r="FT386" s="236"/>
      <c r="FU386" s="236"/>
      <c r="FV386" s="236"/>
      <c r="FW386" s="239"/>
      <c r="FX386" s="236"/>
      <c r="FY386" s="217"/>
      <c r="FZ386" s="240"/>
      <c r="GA386" s="217"/>
      <c r="GB386" s="242"/>
      <c r="GC386" s="217"/>
      <c r="GD386" s="240"/>
      <c r="GE386" s="240"/>
      <c r="GF386" s="240"/>
      <c r="GG386" s="240"/>
      <c r="GH386" s="240"/>
      <c r="GI386" s="217"/>
      <c r="GJ386" s="217"/>
      <c r="GK386" s="239"/>
      <c r="GL386" s="243"/>
    </row>
    <row r="387" ht="15.75" customHeight="1">
      <c r="A387" s="229"/>
      <c r="B387" s="258"/>
      <c r="C387" s="259"/>
      <c r="D387" s="260"/>
      <c r="E387" s="229"/>
      <c r="F387" s="261"/>
      <c r="G387" s="261"/>
      <c r="H387" s="262"/>
      <c r="I387" s="259"/>
      <c r="J387" s="259"/>
      <c r="K387" s="229"/>
      <c r="L387" s="229"/>
      <c r="M387" s="229"/>
      <c r="N387" s="229"/>
      <c r="O387" s="229"/>
      <c r="P387" s="217"/>
      <c r="Q387" s="229"/>
      <c r="R387" s="218"/>
      <c r="S387" s="265"/>
      <c r="T387" s="220"/>
      <c r="U387" s="220"/>
      <c r="V387" s="221"/>
      <c r="W387" s="220"/>
      <c r="X387" s="222"/>
      <c r="Y387" s="222"/>
      <c r="Z387" s="229"/>
      <c r="AA387" s="229"/>
      <c r="AB387" s="229"/>
      <c r="AC387" s="229"/>
      <c r="AD387" s="229"/>
      <c r="AE387" s="229"/>
      <c r="AF387" s="229"/>
      <c r="AG387" s="264"/>
      <c r="AH387" s="224"/>
      <c r="AI387" s="264"/>
      <c r="AJ387" s="224"/>
      <c r="AK387" s="237"/>
      <c r="AL387" s="258"/>
      <c r="AM387" s="258"/>
      <c r="AN387" s="229"/>
      <c r="AO387" s="229"/>
      <c r="AP387" s="229"/>
      <c r="AQ387" s="259"/>
      <c r="AR387" s="259"/>
      <c r="AS387" s="229"/>
      <c r="AT387" s="229"/>
      <c r="AU387" s="229"/>
      <c r="AV387" s="229"/>
      <c r="AW387" s="264"/>
      <c r="AX387" s="264"/>
      <c r="AY387" s="264"/>
      <c r="AZ387" s="264"/>
      <c r="BA387" s="219"/>
      <c r="BB387" s="219"/>
      <c r="BC387" s="229"/>
      <c r="BD387" s="229"/>
      <c r="BE387" s="217"/>
      <c r="BF387" s="229"/>
      <c r="BG387" s="258"/>
      <c r="BH387" s="258"/>
      <c r="BI387" s="229"/>
      <c r="BJ387" s="229"/>
      <c r="BK387" s="229"/>
      <c r="BL387" s="229"/>
      <c r="BM387" s="258"/>
      <c r="BN387" s="258"/>
      <c r="BO387" s="258"/>
      <c r="BP387" s="258"/>
      <c r="BQ387" s="229"/>
      <c r="BR387" s="258"/>
      <c r="BS387" s="258"/>
      <c r="BT387" s="258"/>
      <c r="BU387" s="258"/>
      <c r="BV387" s="229"/>
      <c r="BW387" s="229"/>
      <c r="BX387" s="241"/>
      <c r="BY387" s="241"/>
      <c r="BZ387" s="241"/>
      <c r="CA387" s="217"/>
      <c r="CB387" s="217"/>
      <c r="CC387" s="229"/>
      <c r="CD387" s="217"/>
      <c r="CE387" s="217"/>
      <c r="CF387" s="217"/>
      <c r="CG387" s="217"/>
      <c r="CH387" s="217"/>
      <c r="CI387" s="229"/>
      <c r="CJ387" s="217"/>
      <c r="CK387" s="217"/>
      <c r="CL387" s="217"/>
      <c r="CM387" s="217"/>
      <c r="CN387" s="217"/>
      <c r="CO387" s="229"/>
      <c r="CP387" s="217"/>
      <c r="CQ387" s="217"/>
      <c r="CR387" s="217"/>
      <c r="CS387" s="217"/>
      <c r="CT387" s="217"/>
      <c r="CU387" s="229"/>
      <c r="CV387" s="217"/>
      <c r="CW387" s="217"/>
      <c r="CX387" s="217"/>
      <c r="CY387" s="217"/>
      <c r="CZ387" s="217"/>
      <c r="DA387" s="229"/>
      <c r="DB387" s="217"/>
      <c r="DC387" s="217"/>
      <c r="DD387" s="217"/>
      <c r="DE387" s="217"/>
      <c r="DF387" s="217"/>
      <c r="DG387" s="229"/>
      <c r="DH387" s="217"/>
      <c r="DI387" s="217"/>
      <c r="DJ387" s="217"/>
      <c r="DK387" s="217"/>
      <c r="DL387" s="217"/>
      <c r="DM387" s="229"/>
      <c r="DN387" s="217"/>
      <c r="DO387" s="217"/>
      <c r="DP387" s="217"/>
      <c r="DQ387" s="217"/>
      <c r="DR387" s="217"/>
      <c r="DS387" s="229"/>
      <c r="DT387" s="229"/>
      <c r="DU387" s="229"/>
      <c r="DV387" s="217"/>
      <c r="DW387" s="217"/>
      <c r="DX387" s="230"/>
      <c r="DY387" s="231"/>
      <c r="DZ387" s="231"/>
      <c r="EA387" s="230"/>
      <c r="EB387" s="232"/>
      <c r="EC387" s="217"/>
      <c r="ED387" s="233"/>
      <c r="EE387" s="234"/>
      <c r="EF387" s="235"/>
      <c r="EG387" s="233"/>
      <c r="EH387" s="236"/>
      <c r="EI387" s="217"/>
      <c r="EJ387" s="237"/>
      <c r="EK387" s="217"/>
      <c r="EL387" s="217"/>
      <c r="EM387" s="238"/>
      <c r="EN387" s="236"/>
      <c r="EO387" s="239"/>
      <c r="EP387" s="236"/>
      <c r="EQ387" s="217"/>
      <c r="ER387" s="217"/>
      <c r="ES387" s="236"/>
      <c r="ET387" s="236"/>
      <c r="EU387" s="236"/>
      <c r="EV387" s="239"/>
      <c r="EW387" s="236"/>
      <c r="EX387" s="217"/>
      <c r="EY387" s="240"/>
      <c r="EZ387" s="241"/>
      <c r="FA387" s="240"/>
      <c r="FB387" s="241"/>
      <c r="FC387" s="240"/>
      <c r="FD387" s="217"/>
      <c r="FE387" s="240"/>
      <c r="FF387" s="217"/>
      <c r="FG387" s="217"/>
      <c r="FH387" s="217"/>
      <c r="FI387" s="217"/>
      <c r="FJ387" s="217"/>
      <c r="FK387" s="240"/>
      <c r="FL387" s="217"/>
      <c r="FM387" s="240"/>
      <c r="FN387" s="217"/>
      <c r="FO387" s="240"/>
      <c r="FP387" s="217"/>
      <c r="FQ387" s="240"/>
      <c r="FR387" s="217"/>
      <c r="FS387" s="236"/>
      <c r="FT387" s="236"/>
      <c r="FU387" s="236"/>
      <c r="FV387" s="236"/>
      <c r="FW387" s="239"/>
      <c r="FX387" s="236"/>
      <c r="FY387" s="217"/>
      <c r="FZ387" s="240"/>
      <c r="GA387" s="217"/>
      <c r="GB387" s="242"/>
      <c r="GC387" s="217"/>
      <c r="GD387" s="240"/>
      <c r="GE387" s="240"/>
      <c r="GF387" s="240"/>
      <c r="GG387" s="240"/>
      <c r="GH387" s="240"/>
      <c r="GI387" s="217"/>
      <c r="GJ387" s="217"/>
      <c r="GK387" s="239"/>
      <c r="GL387" s="243"/>
    </row>
    <row r="388" ht="15.75" customHeight="1">
      <c r="A388" s="229"/>
      <c r="B388" s="258"/>
      <c r="C388" s="259"/>
      <c r="D388" s="260"/>
      <c r="E388" s="229"/>
      <c r="F388" s="261"/>
      <c r="G388" s="261"/>
      <c r="H388" s="262"/>
      <c r="I388" s="259"/>
      <c r="J388" s="259"/>
      <c r="K388" s="229"/>
      <c r="L388" s="229"/>
      <c r="M388" s="229"/>
      <c r="N388" s="229"/>
      <c r="O388" s="229"/>
      <c r="P388" s="217"/>
      <c r="Q388" s="229"/>
      <c r="R388" s="218"/>
      <c r="S388" s="265"/>
      <c r="T388" s="220"/>
      <c r="U388" s="220"/>
      <c r="V388" s="221"/>
      <c r="W388" s="220"/>
      <c r="X388" s="222"/>
      <c r="Y388" s="222"/>
      <c r="Z388" s="229"/>
      <c r="AA388" s="229"/>
      <c r="AB388" s="229"/>
      <c r="AC388" s="229"/>
      <c r="AD388" s="229"/>
      <c r="AE388" s="229"/>
      <c r="AF388" s="229"/>
      <c r="AG388" s="264"/>
      <c r="AH388" s="224"/>
      <c r="AI388" s="264"/>
      <c r="AJ388" s="224"/>
      <c r="AK388" s="237"/>
      <c r="AL388" s="258"/>
      <c r="AM388" s="258"/>
      <c r="AN388" s="229"/>
      <c r="AO388" s="229"/>
      <c r="AP388" s="229"/>
      <c r="AQ388" s="259"/>
      <c r="AR388" s="259"/>
      <c r="AS388" s="229"/>
      <c r="AT388" s="229"/>
      <c r="AU388" s="229"/>
      <c r="AV388" s="229"/>
      <c r="AW388" s="264"/>
      <c r="AX388" s="264"/>
      <c r="AY388" s="264"/>
      <c r="AZ388" s="264"/>
      <c r="BA388" s="219"/>
      <c r="BB388" s="219"/>
      <c r="BC388" s="229"/>
      <c r="BD388" s="229"/>
      <c r="BE388" s="217"/>
      <c r="BF388" s="229"/>
      <c r="BG388" s="258"/>
      <c r="BH388" s="258"/>
      <c r="BI388" s="229"/>
      <c r="BJ388" s="229"/>
      <c r="BK388" s="229"/>
      <c r="BL388" s="229"/>
      <c r="BM388" s="258"/>
      <c r="BN388" s="258"/>
      <c r="BO388" s="258"/>
      <c r="BP388" s="258"/>
      <c r="BQ388" s="229"/>
      <c r="BR388" s="258"/>
      <c r="BS388" s="258"/>
      <c r="BT388" s="258"/>
      <c r="BU388" s="258"/>
      <c r="BV388" s="229"/>
      <c r="BW388" s="229"/>
      <c r="BX388" s="241"/>
      <c r="BY388" s="241"/>
      <c r="BZ388" s="241"/>
      <c r="CA388" s="217"/>
      <c r="CB388" s="217"/>
      <c r="CC388" s="229"/>
      <c r="CD388" s="217"/>
      <c r="CE388" s="217"/>
      <c r="CF388" s="217"/>
      <c r="CG388" s="217"/>
      <c r="CH388" s="217"/>
      <c r="CI388" s="229"/>
      <c r="CJ388" s="217"/>
      <c r="CK388" s="217"/>
      <c r="CL388" s="217"/>
      <c r="CM388" s="217"/>
      <c r="CN388" s="217"/>
      <c r="CO388" s="229"/>
      <c r="CP388" s="217"/>
      <c r="CQ388" s="217"/>
      <c r="CR388" s="217"/>
      <c r="CS388" s="217"/>
      <c r="CT388" s="217"/>
      <c r="CU388" s="229"/>
      <c r="CV388" s="217"/>
      <c r="CW388" s="217"/>
      <c r="CX388" s="217"/>
      <c r="CY388" s="217"/>
      <c r="CZ388" s="217"/>
      <c r="DA388" s="229"/>
      <c r="DB388" s="217"/>
      <c r="DC388" s="217"/>
      <c r="DD388" s="217"/>
      <c r="DE388" s="217"/>
      <c r="DF388" s="217"/>
      <c r="DG388" s="229"/>
      <c r="DH388" s="217"/>
      <c r="DI388" s="217"/>
      <c r="DJ388" s="217"/>
      <c r="DK388" s="217"/>
      <c r="DL388" s="217"/>
      <c r="DM388" s="229"/>
      <c r="DN388" s="217"/>
      <c r="DO388" s="217"/>
      <c r="DP388" s="217"/>
      <c r="DQ388" s="217"/>
      <c r="DR388" s="217"/>
      <c r="DS388" s="229"/>
      <c r="DT388" s="229"/>
      <c r="DU388" s="229"/>
      <c r="DV388" s="217"/>
      <c r="DW388" s="217"/>
      <c r="DX388" s="230"/>
      <c r="DY388" s="231"/>
      <c r="DZ388" s="231"/>
      <c r="EA388" s="230"/>
      <c r="EB388" s="232"/>
      <c r="EC388" s="217"/>
      <c r="ED388" s="233"/>
      <c r="EE388" s="234"/>
      <c r="EF388" s="235"/>
      <c r="EG388" s="233"/>
      <c r="EH388" s="236"/>
      <c r="EI388" s="217"/>
      <c r="EJ388" s="237"/>
      <c r="EK388" s="217"/>
      <c r="EL388" s="217"/>
      <c r="EM388" s="238"/>
      <c r="EN388" s="236"/>
      <c r="EO388" s="239"/>
      <c r="EP388" s="236"/>
      <c r="EQ388" s="217"/>
      <c r="ER388" s="217"/>
      <c r="ES388" s="236"/>
      <c r="ET388" s="236"/>
      <c r="EU388" s="236"/>
      <c r="EV388" s="239"/>
      <c r="EW388" s="236"/>
      <c r="EX388" s="217"/>
      <c r="EY388" s="240"/>
      <c r="EZ388" s="241"/>
      <c r="FA388" s="240"/>
      <c r="FB388" s="241"/>
      <c r="FC388" s="240"/>
      <c r="FD388" s="217"/>
      <c r="FE388" s="240"/>
      <c r="FF388" s="217"/>
      <c r="FG388" s="217"/>
      <c r="FH388" s="217"/>
      <c r="FI388" s="217"/>
      <c r="FJ388" s="217"/>
      <c r="FK388" s="240"/>
      <c r="FL388" s="217"/>
      <c r="FM388" s="240"/>
      <c r="FN388" s="217"/>
      <c r="FO388" s="240"/>
      <c r="FP388" s="217"/>
      <c r="FQ388" s="240"/>
      <c r="FR388" s="217"/>
      <c r="FS388" s="236"/>
      <c r="FT388" s="236"/>
      <c r="FU388" s="236"/>
      <c r="FV388" s="236"/>
      <c r="FW388" s="239"/>
      <c r="FX388" s="236"/>
      <c r="FY388" s="217"/>
      <c r="FZ388" s="240"/>
      <c r="GA388" s="217"/>
      <c r="GB388" s="242"/>
      <c r="GC388" s="217"/>
      <c r="GD388" s="240"/>
      <c r="GE388" s="240"/>
      <c r="GF388" s="240"/>
      <c r="GG388" s="240"/>
      <c r="GH388" s="240"/>
      <c r="GI388" s="217"/>
      <c r="GJ388" s="217"/>
      <c r="GK388" s="239"/>
      <c r="GL388" s="243"/>
    </row>
    <row r="389" ht="15.75" customHeight="1">
      <c r="A389" s="229"/>
      <c r="B389" s="258"/>
      <c r="C389" s="259"/>
      <c r="D389" s="260"/>
      <c r="E389" s="229"/>
      <c r="F389" s="261"/>
      <c r="G389" s="261"/>
      <c r="H389" s="262"/>
      <c r="I389" s="259"/>
      <c r="J389" s="259"/>
      <c r="K389" s="229"/>
      <c r="L389" s="229"/>
      <c r="M389" s="229"/>
      <c r="N389" s="229"/>
      <c r="O389" s="229"/>
      <c r="P389" s="217"/>
      <c r="Q389" s="229"/>
      <c r="R389" s="218"/>
      <c r="S389" s="265"/>
      <c r="T389" s="220"/>
      <c r="U389" s="220"/>
      <c r="V389" s="221"/>
      <c r="W389" s="220"/>
      <c r="X389" s="222"/>
      <c r="Y389" s="222"/>
      <c r="Z389" s="229"/>
      <c r="AA389" s="229"/>
      <c r="AB389" s="229"/>
      <c r="AC389" s="229"/>
      <c r="AD389" s="229"/>
      <c r="AE389" s="229"/>
      <c r="AF389" s="229"/>
      <c r="AG389" s="264"/>
      <c r="AH389" s="224"/>
      <c r="AI389" s="264"/>
      <c r="AJ389" s="224"/>
      <c r="AK389" s="237"/>
      <c r="AL389" s="258"/>
      <c r="AM389" s="258"/>
      <c r="AN389" s="229"/>
      <c r="AO389" s="229"/>
      <c r="AP389" s="229"/>
      <c r="AQ389" s="259"/>
      <c r="AR389" s="259"/>
      <c r="AS389" s="229"/>
      <c r="AT389" s="229"/>
      <c r="AU389" s="229"/>
      <c r="AV389" s="229"/>
      <c r="AW389" s="264"/>
      <c r="AX389" s="264"/>
      <c r="AY389" s="264"/>
      <c r="AZ389" s="264"/>
      <c r="BA389" s="219"/>
      <c r="BB389" s="219"/>
      <c r="BC389" s="229"/>
      <c r="BD389" s="229"/>
      <c r="BE389" s="217"/>
      <c r="BF389" s="229"/>
      <c r="BG389" s="258"/>
      <c r="BH389" s="258"/>
      <c r="BI389" s="229"/>
      <c r="BJ389" s="229"/>
      <c r="BK389" s="229"/>
      <c r="BL389" s="229"/>
      <c r="BM389" s="258"/>
      <c r="BN389" s="258"/>
      <c r="BO389" s="258"/>
      <c r="BP389" s="258"/>
      <c r="BQ389" s="229"/>
      <c r="BR389" s="258"/>
      <c r="BS389" s="258"/>
      <c r="BT389" s="258"/>
      <c r="BU389" s="258"/>
      <c r="BV389" s="229"/>
      <c r="BW389" s="229"/>
      <c r="BX389" s="241"/>
      <c r="BY389" s="241"/>
      <c r="BZ389" s="241"/>
      <c r="CA389" s="217"/>
      <c r="CB389" s="217"/>
      <c r="CC389" s="229"/>
      <c r="CD389" s="217"/>
      <c r="CE389" s="217"/>
      <c r="CF389" s="217"/>
      <c r="CG389" s="217"/>
      <c r="CH389" s="217"/>
      <c r="CI389" s="229"/>
      <c r="CJ389" s="217"/>
      <c r="CK389" s="217"/>
      <c r="CL389" s="217"/>
      <c r="CM389" s="217"/>
      <c r="CN389" s="217"/>
      <c r="CO389" s="229"/>
      <c r="CP389" s="217"/>
      <c r="CQ389" s="217"/>
      <c r="CR389" s="217"/>
      <c r="CS389" s="217"/>
      <c r="CT389" s="217"/>
      <c r="CU389" s="229"/>
      <c r="CV389" s="217"/>
      <c r="CW389" s="217"/>
      <c r="CX389" s="217"/>
      <c r="CY389" s="217"/>
      <c r="CZ389" s="217"/>
      <c r="DA389" s="229"/>
      <c r="DB389" s="217"/>
      <c r="DC389" s="217"/>
      <c r="DD389" s="217"/>
      <c r="DE389" s="217"/>
      <c r="DF389" s="217"/>
      <c r="DG389" s="229"/>
      <c r="DH389" s="217"/>
      <c r="DI389" s="217"/>
      <c r="DJ389" s="217"/>
      <c r="DK389" s="217"/>
      <c r="DL389" s="217"/>
      <c r="DM389" s="229"/>
      <c r="DN389" s="217"/>
      <c r="DO389" s="217"/>
      <c r="DP389" s="217"/>
      <c r="DQ389" s="217"/>
      <c r="DR389" s="217"/>
      <c r="DS389" s="229"/>
      <c r="DT389" s="229"/>
      <c r="DU389" s="229"/>
      <c r="DV389" s="217"/>
      <c r="DW389" s="217"/>
      <c r="DX389" s="230"/>
      <c r="DY389" s="231"/>
      <c r="DZ389" s="231"/>
      <c r="EA389" s="230"/>
      <c r="EB389" s="232"/>
      <c r="EC389" s="217"/>
      <c r="ED389" s="233"/>
      <c r="EE389" s="234"/>
      <c r="EF389" s="235"/>
      <c r="EG389" s="233"/>
      <c r="EH389" s="236"/>
      <c r="EI389" s="217"/>
      <c r="EJ389" s="237"/>
      <c r="EK389" s="217"/>
      <c r="EL389" s="217"/>
      <c r="EM389" s="238"/>
      <c r="EN389" s="236"/>
      <c r="EO389" s="239"/>
      <c r="EP389" s="236"/>
      <c r="EQ389" s="217"/>
      <c r="ER389" s="217"/>
      <c r="ES389" s="236"/>
      <c r="ET389" s="236"/>
      <c r="EU389" s="236"/>
      <c r="EV389" s="239"/>
      <c r="EW389" s="236"/>
      <c r="EX389" s="217"/>
      <c r="EY389" s="240"/>
      <c r="EZ389" s="241"/>
      <c r="FA389" s="240"/>
      <c r="FB389" s="241"/>
      <c r="FC389" s="240"/>
      <c r="FD389" s="217"/>
      <c r="FE389" s="240"/>
      <c r="FF389" s="217"/>
      <c r="FG389" s="217"/>
      <c r="FH389" s="217"/>
      <c r="FI389" s="217"/>
      <c r="FJ389" s="217"/>
      <c r="FK389" s="240"/>
      <c r="FL389" s="217"/>
      <c r="FM389" s="240"/>
      <c r="FN389" s="217"/>
      <c r="FO389" s="240"/>
      <c r="FP389" s="217"/>
      <c r="FQ389" s="240"/>
      <c r="FR389" s="217"/>
      <c r="FS389" s="236"/>
      <c r="FT389" s="236"/>
      <c r="FU389" s="236"/>
      <c r="FV389" s="236"/>
      <c r="FW389" s="239"/>
      <c r="FX389" s="236"/>
      <c r="FY389" s="217"/>
      <c r="FZ389" s="240"/>
      <c r="GA389" s="217"/>
      <c r="GB389" s="242"/>
      <c r="GC389" s="217"/>
      <c r="GD389" s="240"/>
      <c r="GE389" s="240"/>
      <c r="GF389" s="240"/>
      <c r="GG389" s="240"/>
      <c r="GH389" s="240"/>
      <c r="GI389" s="217"/>
      <c r="GJ389" s="217"/>
      <c r="GK389" s="239"/>
      <c r="GL389" s="243"/>
    </row>
    <row r="390" ht="15.75" customHeight="1">
      <c r="A390" s="229"/>
      <c r="B390" s="258"/>
      <c r="C390" s="259"/>
      <c r="D390" s="260"/>
      <c r="E390" s="229"/>
      <c r="F390" s="261"/>
      <c r="G390" s="261"/>
      <c r="H390" s="262"/>
      <c r="I390" s="259"/>
      <c r="J390" s="259"/>
      <c r="K390" s="229"/>
      <c r="L390" s="229"/>
      <c r="M390" s="229"/>
      <c r="N390" s="229"/>
      <c r="O390" s="229"/>
      <c r="P390" s="217"/>
      <c r="Q390" s="229"/>
      <c r="R390" s="218"/>
      <c r="S390" s="265"/>
      <c r="T390" s="220"/>
      <c r="U390" s="220"/>
      <c r="V390" s="221"/>
      <c r="W390" s="220"/>
      <c r="X390" s="222"/>
      <c r="Y390" s="222"/>
      <c r="Z390" s="229"/>
      <c r="AA390" s="229"/>
      <c r="AB390" s="229"/>
      <c r="AC390" s="229"/>
      <c r="AD390" s="229"/>
      <c r="AE390" s="229"/>
      <c r="AF390" s="229"/>
      <c r="AG390" s="264"/>
      <c r="AH390" s="224"/>
      <c r="AI390" s="264"/>
      <c r="AJ390" s="224"/>
      <c r="AK390" s="237"/>
      <c r="AL390" s="258"/>
      <c r="AM390" s="258"/>
      <c r="AN390" s="229"/>
      <c r="AO390" s="229"/>
      <c r="AP390" s="229"/>
      <c r="AQ390" s="259"/>
      <c r="AR390" s="259"/>
      <c r="AS390" s="229"/>
      <c r="AT390" s="229"/>
      <c r="AU390" s="229"/>
      <c r="AV390" s="229"/>
      <c r="AW390" s="264"/>
      <c r="AX390" s="264"/>
      <c r="AY390" s="264"/>
      <c r="AZ390" s="264"/>
      <c r="BA390" s="219"/>
      <c r="BB390" s="219"/>
      <c r="BC390" s="229"/>
      <c r="BD390" s="229"/>
      <c r="BE390" s="217"/>
      <c r="BF390" s="229"/>
      <c r="BG390" s="258"/>
      <c r="BH390" s="258"/>
      <c r="BI390" s="229"/>
      <c r="BJ390" s="229"/>
      <c r="BK390" s="229"/>
      <c r="BL390" s="229"/>
      <c r="BM390" s="258"/>
      <c r="BN390" s="258"/>
      <c r="BO390" s="258"/>
      <c r="BP390" s="258"/>
      <c r="BQ390" s="229"/>
      <c r="BR390" s="258"/>
      <c r="BS390" s="258"/>
      <c r="BT390" s="258"/>
      <c r="BU390" s="258"/>
      <c r="BV390" s="229"/>
      <c r="BW390" s="229"/>
      <c r="BX390" s="241"/>
      <c r="BY390" s="241"/>
      <c r="BZ390" s="241"/>
      <c r="CA390" s="217"/>
      <c r="CB390" s="217"/>
      <c r="CC390" s="229"/>
      <c r="CD390" s="217"/>
      <c r="CE390" s="217"/>
      <c r="CF390" s="217"/>
      <c r="CG390" s="217"/>
      <c r="CH390" s="217"/>
      <c r="CI390" s="229"/>
      <c r="CJ390" s="217"/>
      <c r="CK390" s="217"/>
      <c r="CL390" s="217"/>
      <c r="CM390" s="217"/>
      <c r="CN390" s="217"/>
      <c r="CO390" s="229"/>
      <c r="CP390" s="217"/>
      <c r="CQ390" s="217"/>
      <c r="CR390" s="217"/>
      <c r="CS390" s="217"/>
      <c r="CT390" s="217"/>
      <c r="CU390" s="229"/>
      <c r="CV390" s="217"/>
      <c r="CW390" s="217"/>
      <c r="CX390" s="217"/>
      <c r="CY390" s="217"/>
      <c r="CZ390" s="217"/>
      <c r="DA390" s="229"/>
      <c r="DB390" s="217"/>
      <c r="DC390" s="217"/>
      <c r="DD390" s="217"/>
      <c r="DE390" s="217"/>
      <c r="DF390" s="217"/>
      <c r="DG390" s="229"/>
      <c r="DH390" s="217"/>
      <c r="DI390" s="217"/>
      <c r="DJ390" s="217"/>
      <c r="DK390" s="217"/>
      <c r="DL390" s="217"/>
      <c r="DM390" s="229"/>
      <c r="DN390" s="217"/>
      <c r="DO390" s="217"/>
      <c r="DP390" s="217"/>
      <c r="DQ390" s="217"/>
      <c r="DR390" s="217"/>
      <c r="DS390" s="229"/>
      <c r="DT390" s="229"/>
      <c r="DU390" s="229"/>
      <c r="DV390" s="217"/>
      <c r="DW390" s="217"/>
      <c r="DX390" s="230"/>
      <c r="DY390" s="231"/>
      <c r="DZ390" s="231"/>
      <c r="EA390" s="230"/>
      <c r="EB390" s="232"/>
      <c r="EC390" s="217"/>
      <c r="ED390" s="233"/>
      <c r="EE390" s="234"/>
      <c r="EF390" s="235"/>
      <c r="EG390" s="233"/>
      <c r="EH390" s="236"/>
      <c r="EI390" s="217"/>
      <c r="EJ390" s="237"/>
      <c r="EK390" s="217"/>
      <c r="EL390" s="217"/>
      <c r="EM390" s="238"/>
      <c r="EN390" s="236"/>
      <c r="EO390" s="239"/>
      <c r="EP390" s="236"/>
      <c r="EQ390" s="217"/>
      <c r="ER390" s="217"/>
      <c r="ES390" s="236"/>
      <c r="ET390" s="236"/>
      <c r="EU390" s="236"/>
      <c r="EV390" s="239"/>
      <c r="EW390" s="236"/>
      <c r="EX390" s="217"/>
      <c r="EY390" s="240"/>
      <c r="EZ390" s="241"/>
      <c r="FA390" s="240"/>
      <c r="FB390" s="241"/>
      <c r="FC390" s="240"/>
      <c r="FD390" s="217"/>
      <c r="FE390" s="240"/>
      <c r="FF390" s="217"/>
      <c r="FG390" s="217"/>
      <c r="FH390" s="217"/>
      <c r="FI390" s="217"/>
      <c r="FJ390" s="217"/>
      <c r="FK390" s="240"/>
      <c r="FL390" s="217"/>
      <c r="FM390" s="240"/>
      <c r="FN390" s="217"/>
      <c r="FO390" s="240"/>
      <c r="FP390" s="217"/>
      <c r="FQ390" s="240"/>
      <c r="FR390" s="217"/>
      <c r="FS390" s="236"/>
      <c r="FT390" s="236"/>
      <c r="FU390" s="236"/>
      <c r="FV390" s="236"/>
      <c r="FW390" s="239"/>
      <c r="FX390" s="236"/>
      <c r="FY390" s="217"/>
      <c r="FZ390" s="240"/>
      <c r="GA390" s="217"/>
      <c r="GB390" s="242"/>
      <c r="GC390" s="217"/>
      <c r="GD390" s="240"/>
      <c r="GE390" s="240"/>
      <c r="GF390" s="240"/>
      <c r="GG390" s="240"/>
      <c r="GH390" s="240"/>
      <c r="GI390" s="217"/>
      <c r="GJ390" s="217"/>
      <c r="GK390" s="239"/>
      <c r="GL390" s="243"/>
    </row>
    <row r="391" ht="15.75" customHeight="1">
      <c r="A391" s="229"/>
      <c r="B391" s="258"/>
      <c r="C391" s="259"/>
      <c r="D391" s="260"/>
      <c r="E391" s="229"/>
      <c r="F391" s="261"/>
      <c r="G391" s="261"/>
      <c r="H391" s="262"/>
      <c r="I391" s="259"/>
      <c r="J391" s="259"/>
      <c r="K391" s="229"/>
      <c r="L391" s="229"/>
      <c r="M391" s="229"/>
      <c r="N391" s="229"/>
      <c r="O391" s="229"/>
      <c r="P391" s="217"/>
      <c r="Q391" s="229"/>
      <c r="R391" s="218"/>
      <c r="S391" s="265"/>
      <c r="T391" s="220"/>
      <c r="U391" s="220"/>
      <c r="V391" s="221"/>
      <c r="W391" s="220"/>
      <c r="X391" s="222"/>
      <c r="Y391" s="222"/>
      <c r="Z391" s="229"/>
      <c r="AA391" s="229"/>
      <c r="AB391" s="229"/>
      <c r="AC391" s="229"/>
      <c r="AD391" s="229"/>
      <c r="AE391" s="229"/>
      <c r="AF391" s="229"/>
      <c r="AG391" s="264"/>
      <c r="AH391" s="224"/>
      <c r="AI391" s="264"/>
      <c r="AJ391" s="224"/>
      <c r="AK391" s="237"/>
      <c r="AL391" s="258"/>
      <c r="AM391" s="258"/>
      <c r="AN391" s="229"/>
      <c r="AO391" s="229"/>
      <c r="AP391" s="229"/>
      <c r="AQ391" s="259"/>
      <c r="AR391" s="259"/>
      <c r="AS391" s="229"/>
      <c r="AT391" s="229"/>
      <c r="AU391" s="229"/>
      <c r="AV391" s="229"/>
      <c r="AW391" s="264"/>
      <c r="AX391" s="264"/>
      <c r="AY391" s="264"/>
      <c r="AZ391" s="264"/>
      <c r="BA391" s="219"/>
      <c r="BB391" s="219"/>
      <c r="BC391" s="229"/>
      <c r="BD391" s="229"/>
      <c r="BE391" s="217"/>
      <c r="BF391" s="229"/>
      <c r="BG391" s="258"/>
      <c r="BH391" s="258"/>
      <c r="BI391" s="229"/>
      <c r="BJ391" s="229"/>
      <c r="BK391" s="229"/>
      <c r="BL391" s="229"/>
      <c r="BM391" s="258"/>
      <c r="BN391" s="258"/>
      <c r="BO391" s="258"/>
      <c r="BP391" s="258"/>
      <c r="BQ391" s="229"/>
      <c r="BR391" s="258"/>
      <c r="BS391" s="258"/>
      <c r="BT391" s="258"/>
      <c r="BU391" s="258"/>
      <c r="BV391" s="229"/>
      <c r="BW391" s="229"/>
      <c r="BX391" s="241"/>
      <c r="BY391" s="241"/>
      <c r="BZ391" s="241"/>
      <c r="CA391" s="217"/>
      <c r="CB391" s="217"/>
      <c r="CC391" s="229"/>
      <c r="CD391" s="217"/>
      <c r="CE391" s="217"/>
      <c r="CF391" s="217"/>
      <c r="CG391" s="217"/>
      <c r="CH391" s="217"/>
      <c r="CI391" s="229"/>
      <c r="CJ391" s="217"/>
      <c r="CK391" s="217"/>
      <c r="CL391" s="217"/>
      <c r="CM391" s="217"/>
      <c r="CN391" s="217"/>
      <c r="CO391" s="229"/>
      <c r="CP391" s="217"/>
      <c r="CQ391" s="217"/>
      <c r="CR391" s="217"/>
      <c r="CS391" s="217"/>
      <c r="CT391" s="217"/>
      <c r="CU391" s="229"/>
      <c r="CV391" s="217"/>
      <c r="CW391" s="217"/>
      <c r="CX391" s="217"/>
      <c r="CY391" s="217"/>
      <c r="CZ391" s="217"/>
      <c r="DA391" s="229"/>
      <c r="DB391" s="217"/>
      <c r="DC391" s="217"/>
      <c r="DD391" s="217"/>
      <c r="DE391" s="217"/>
      <c r="DF391" s="217"/>
      <c r="DG391" s="229"/>
      <c r="DH391" s="217"/>
      <c r="DI391" s="217"/>
      <c r="DJ391" s="217"/>
      <c r="DK391" s="217"/>
      <c r="DL391" s="217"/>
      <c r="DM391" s="229"/>
      <c r="DN391" s="217"/>
      <c r="DO391" s="217"/>
      <c r="DP391" s="217"/>
      <c r="DQ391" s="217"/>
      <c r="DR391" s="217"/>
      <c r="DS391" s="229"/>
      <c r="DT391" s="229"/>
      <c r="DU391" s="229"/>
      <c r="DV391" s="217"/>
      <c r="DW391" s="217"/>
      <c r="DX391" s="230"/>
      <c r="DY391" s="231"/>
      <c r="DZ391" s="231"/>
      <c r="EA391" s="230"/>
      <c r="EB391" s="232"/>
      <c r="EC391" s="217"/>
      <c r="ED391" s="233"/>
      <c r="EE391" s="234"/>
      <c r="EF391" s="235"/>
      <c r="EG391" s="233"/>
      <c r="EH391" s="236"/>
      <c r="EI391" s="217"/>
      <c r="EJ391" s="237"/>
      <c r="EK391" s="217"/>
      <c r="EL391" s="217"/>
      <c r="EM391" s="238"/>
      <c r="EN391" s="236"/>
      <c r="EO391" s="239"/>
      <c r="EP391" s="236"/>
      <c r="EQ391" s="217"/>
      <c r="ER391" s="217"/>
      <c r="ES391" s="236"/>
      <c r="ET391" s="236"/>
      <c r="EU391" s="236"/>
      <c r="EV391" s="239"/>
      <c r="EW391" s="236"/>
      <c r="EX391" s="217"/>
      <c r="EY391" s="240"/>
      <c r="EZ391" s="241"/>
      <c r="FA391" s="240"/>
      <c r="FB391" s="241"/>
      <c r="FC391" s="240"/>
      <c r="FD391" s="217"/>
      <c r="FE391" s="240"/>
      <c r="FF391" s="217"/>
      <c r="FG391" s="217"/>
      <c r="FH391" s="217"/>
      <c r="FI391" s="217"/>
      <c r="FJ391" s="217"/>
      <c r="FK391" s="240"/>
      <c r="FL391" s="217"/>
      <c r="FM391" s="240"/>
      <c r="FN391" s="217"/>
      <c r="FO391" s="240"/>
      <c r="FP391" s="217"/>
      <c r="FQ391" s="240"/>
      <c r="FR391" s="217"/>
      <c r="FS391" s="236"/>
      <c r="FT391" s="236"/>
      <c r="FU391" s="236"/>
      <c r="FV391" s="236"/>
      <c r="FW391" s="239"/>
      <c r="FX391" s="236"/>
      <c r="FY391" s="217"/>
      <c r="FZ391" s="240"/>
      <c r="GA391" s="217"/>
      <c r="GB391" s="242"/>
      <c r="GC391" s="217"/>
      <c r="GD391" s="240"/>
      <c r="GE391" s="240"/>
      <c r="GF391" s="240"/>
      <c r="GG391" s="240"/>
      <c r="GH391" s="240"/>
      <c r="GI391" s="217"/>
      <c r="GJ391" s="217"/>
      <c r="GK391" s="239"/>
      <c r="GL391" s="243"/>
    </row>
    <row r="392" ht="15.75" customHeight="1">
      <c r="A392" s="229"/>
      <c r="B392" s="258"/>
      <c r="C392" s="259"/>
      <c r="D392" s="260"/>
      <c r="E392" s="229"/>
      <c r="F392" s="261"/>
      <c r="G392" s="261"/>
      <c r="H392" s="262"/>
      <c r="I392" s="259"/>
      <c r="J392" s="259"/>
      <c r="K392" s="229"/>
      <c r="L392" s="229"/>
      <c r="M392" s="229"/>
      <c r="N392" s="229"/>
      <c r="O392" s="229"/>
      <c r="P392" s="217"/>
      <c r="Q392" s="229"/>
      <c r="R392" s="218"/>
      <c r="S392" s="265"/>
      <c r="T392" s="220"/>
      <c r="U392" s="220"/>
      <c r="V392" s="221"/>
      <c r="W392" s="220"/>
      <c r="X392" s="222"/>
      <c r="Y392" s="222"/>
      <c r="Z392" s="229"/>
      <c r="AA392" s="229"/>
      <c r="AB392" s="229"/>
      <c r="AC392" s="229"/>
      <c r="AD392" s="229"/>
      <c r="AE392" s="229"/>
      <c r="AF392" s="229"/>
      <c r="AG392" s="264"/>
      <c r="AH392" s="224"/>
      <c r="AI392" s="264"/>
      <c r="AJ392" s="224"/>
      <c r="AK392" s="237"/>
      <c r="AL392" s="258"/>
      <c r="AM392" s="258"/>
      <c r="AN392" s="229"/>
      <c r="AO392" s="229"/>
      <c r="AP392" s="229"/>
      <c r="AQ392" s="259"/>
      <c r="AR392" s="259"/>
      <c r="AS392" s="229"/>
      <c r="AT392" s="229"/>
      <c r="AU392" s="229"/>
      <c r="AV392" s="229"/>
      <c r="AW392" s="264"/>
      <c r="AX392" s="264"/>
      <c r="AY392" s="264"/>
      <c r="AZ392" s="264"/>
      <c r="BA392" s="219"/>
      <c r="BB392" s="219"/>
      <c r="BC392" s="229"/>
      <c r="BD392" s="229"/>
      <c r="BE392" s="217"/>
      <c r="BF392" s="229"/>
      <c r="BG392" s="258"/>
      <c r="BH392" s="258"/>
      <c r="BI392" s="229"/>
      <c r="BJ392" s="229"/>
      <c r="BK392" s="229"/>
      <c r="BL392" s="229"/>
      <c r="BM392" s="258"/>
      <c r="BN392" s="258"/>
      <c r="BO392" s="258"/>
      <c r="BP392" s="258"/>
      <c r="BQ392" s="229"/>
      <c r="BR392" s="258"/>
      <c r="BS392" s="258"/>
      <c r="BT392" s="258"/>
      <c r="BU392" s="258"/>
      <c r="BV392" s="229"/>
      <c r="BW392" s="229"/>
      <c r="BX392" s="241"/>
      <c r="BY392" s="241"/>
      <c r="BZ392" s="241"/>
      <c r="CA392" s="217"/>
      <c r="CB392" s="217"/>
      <c r="CC392" s="229"/>
      <c r="CD392" s="217"/>
      <c r="CE392" s="217"/>
      <c r="CF392" s="217"/>
      <c r="CG392" s="217"/>
      <c r="CH392" s="217"/>
      <c r="CI392" s="229"/>
      <c r="CJ392" s="217"/>
      <c r="CK392" s="217"/>
      <c r="CL392" s="217"/>
      <c r="CM392" s="217"/>
      <c r="CN392" s="217"/>
      <c r="CO392" s="229"/>
      <c r="CP392" s="217"/>
      <c r="CQ392" s="217"/>
      <c r="CR392" s="217"/>
      <c r="CS392" s="217"/>
      <c r="CT392" s="217"/>
      <c r="CU392" s="229"/>
      <c r="CV392" s="217"/>
      <c r="CW392" s="217"/>
      <c r="CX392" s="217"/>
      <c r="CY392" s="217"/>
      <c r="CZ392" s="217"/>
      <c r="DA392" s="229"/>
      <c r="DB392" s="217"/>
      <c r="DC392" s="217"/>
      <c r="DD392" s="217"/>
      <c r="DE392" s="217"/>
      <c r="DF392" s="217"/>
      <c r="DG392" s="229"/>
      <c r="DH392" s="217"/>
      <c r="DI392" s="217"/>
      <c r="DJ392" s="217"/>
      <c r="DK392" s="217"/>
      <c r="DL392" s="217"/>
      <c r="DM392" s="229"/>
      <c r="DN392" s="217"/>
      <c r="DO392" s="217"/>
      <c r="DP392" s="217"/>
      <c r="DQ392" s="217"/>
      <c r="DR392" s="217"/>
      <c r="DS392" s="229"/>
      <c r="DT392" s="229"/>
      <c r="DU392" s="229"/>
      <c r="DV392" s="217"/>
      <c r="DW392" s="217"/>
      <c r="DX392" s="230"/>
      <c r="DY392" s="231"/>
      <c r="DZ392" s="231"/>
      <c r="EA392" s="230"/>
      <c r="EB392" s="232"/>
      <c r="EC392" s="217"/>
      <c r="ED392" s="233"/>
      <c r="EE392" s="234"/>
      <c r="EF392" s="235"/>
      <c r="EG392" s="233"/>
      <c r="EH392" s="236"/>
      <c r="EI392" s="217"/>
      <c r="EJ392" s="237"/>
      <c r="EK392" s="217"/>
      <c r="EL392" s="217"/>
      <c r="EM392" s="238"/>
      <c r="EN392" s="236"/>
      <c r="EO392" s="239"/>
      <c r="EP392" s="236"/>
      <c r="EQ392" s="217"/>
      <c r="ER392" s="217"/>
      <c r="ES392" s="236"/>
      <c r="ET392" s="236"/>
      <c r="EU392" s="236"/>
      <c r="EV392" s="239"/>
      <c r="EW392" s="236"/>
      <c r="EX392" s="217"/>
      <c r="EY392" s="240"/>
      <c r="EZ392" s="241"/>
      <c r="FA392" s="240"/>
      <c r="FB392" s="241"/>
      <c r="FC392" s="240"/>
      <c r="FD392" s="217"/>
      <c r="FE392" s="240"/>
      <c r="FF392" s="217"/>
      <c r="FG392" s="217"/>
      <c r="FH392" s="217"/>
      <c r="FI392" s="217"/>
      <c r="FJ392" s="217"/>
      <c r="FK392" s="240"/>
      <c r="FL392" s="217"/>
      <c r="FM392" s="240"/>
      <c r="FN392" s="217"/>
      <c r="FO392" s="240"/>
      <c r="FP392" s="217"/>
      <c r="FQ392" s="240"/>
      <c r="FR392" s="217"/>
      <c r="FS392" s="236"/>
      <c r="FT392" s="236"/>
      <c r="FU392" s="236"/>
      <c r="FV392" s="236"/>
      <c r="FW392" s="239"/>
      <c r="FX392" s="236"/>
      <c r="FY392" s="217"/>
      <c r="FZ392" s="240"/>
      <c r="GA392" s="217"/>
      <c r="GB392" s="242"/>
      <c r="GC392" s="217"/>
      <c r="GD392" s="240"/>
      <c r="GE392" s="240"/>
      <c r="GF392" s="240"/>
      <c r="GG392" s="240"/>
      <c r="GH392" s="240"/>
      <c r="GI392" s="217"/>
      <c r="GJ392" s="217"/>
      <c r="GK392" s="239"/>
      <c r="GL392" s="243"/>
    </row>
    <row r="393" ht="15.75" customHeight="1">
      <c r="A393" s="229"/>
      <c r="B393" s="258"/>
      <c r="C393" s="259"/>
      <c r="D393" s="260"/>
      <c r="E393" s="229"/>
      <c r="F393" s="261"/>
      <c r="G393" s="261"/>
      <c r="H393" s="262"/>
      <c r="I393" s="259"/>
      <c r="J393" s="259"/>
      <c r="K393" s="229"/>
      <c r="L393" s="229"/>
      <c r="M393" s="229"/>
      <c r="N393" s="229"/>
      <c r="O393" s="229"/>
      <c r="P393" s="217"/>
      <c r="Q393" s="229"/>
      <c r="R393" s="218"/>
      <c r="S393" s="265"/>
      <c r="T393" s="220"/>
      <c r="U393" s="220"/>
      <c r="V393" s="221"/>
      <c r="W393" s="220"/>
      <c r="X393" s="222"/>
      <c r="Y393" s="222"/>
      <c r="Z393" s="229"/>
      <c r="AA393" s="229"/>
      <c r="AB393" s="229"/>
      <c r="AC393" s="229"/>
      <c r="AD393" s="229"/>
      <c r="AE393" s="229"/>
      <c r="AF393" s="229"/>
      <c r="AG393" s="264"/>
      <c r="AH393" s="224"/>
      <c r="AI393" s="264"/>
      <c r="AJ393" s="224"/>
      <c r="AK393" s="237"/>
      <c r="AL393" s="258"/>
      <c r="AM393" s="258"/>
      <c r="AN393" s="229"/>
      <c r="AO393" s="229"/>
      <c r="AP393" s="229"/>
      <c r="AQ393" s="259"/>
      <c r="AR393" s="259"/>
      <c r="AS393" s="229"/>
      <c r="AT393" s="229"/>
      <c r="AU393" s="229"/>
      <c r="AV393" s="229"/>
      <c r="AW393" s="264"/>
      <c r="AX393" s="264"/>
      <c r="AY393" s="264"/>
      <c r="AZ393" s="264"/>
      <c r="BA393" s="219"/>
      <c r="BB393" s="219"/>
      <c r="BC393" s="229"/>
      <c r="BD393" s="229"/>
      <c r="BE393" s="217"/>
      <c r="BF393" s="229"/>
      <c r="BG393" s="258"/>
      <c r="BH393" s="258"/>
      <c r="BI393" s="229"/>
      <c r="BJ393" s="229"/>
      <c r="BK393" s="229"/>
      <c r="BL393" s="229"/>
      <c r="BM393" s="258"/>
      <c r="BN393" s="258"/>
      <c r="BO393" s="258"/>
      <c r="BP393" s="258"/>
      <c r="BQ393" s="229"/>
      <c r="BR393" s="258"/>
      <c r="BS393" s="258"/>
      <c r="BT393" s="258"/>
      <c r="BU393" s="258"/>
      <c r="BV393" s="229"/>
      <c r="BW393" s="229"/>
      <c r="BX393" s="241"/>
      <c r="BY393" s="241"/>
      <c r="BZ393" s="241"/>
      <c r="CA393" s="217"/>
      <c r="CB393" s="217"/>
      <c r="CC393" s="229"/>
      <c r="CD393" s="217"/>
      <c r="CE393" s="217"/>
      <c r="CF393" s="217"/>
      <c r="CG393" s="217"/>
      <c r="CH393" s="217"/>
      <c r="CI393" s="229"/>
      <c r="CJ393" s="217"/>
      <c r="CK393" s="217"/>
      <c r="CL393" s="217"/>
      <c r="CM393" s="217"/>
      <c r="CN393" s="217"/>
      <c r="CO393" s="229"/>
      <c r="CP393" s="217"/>
      <c r="CQ393" s="217"/>
      <c r="CR393" s="217"/>
      <c r="CS393" s="217"/>
      <c r="CT393" s="217"/>
      <c r="CU393" s="229"/>
      <c r="CV393" s="217"/>
      <c r="CW393" s="217"/>
      <c r="CX393" s="217"/>
      <c r="CY393" s="217"/>
      <c r="CZ393" s="217"/>
      <c r="DA393" s="229"/>
      <c r="DB393" s="217"/>
      <c r="DC393" s="217"/>
      <c r="DD393" s="217"/>
      <c r="DE393" s="217"/>
      <c r="DF393" s="217"/>
      <c r="DG393" s="229"/>
      <c r="DH393" s="217"/>
      <c r="DI393" s="217"/>
      <c r="DJ393" s="217"/>
      <c r="DK393" s="217"/>
      <c r="DL393" s="217"/>
      <c r="DM393" s="229"/>
      <c r="DN393" s="217"/>
      <c r="DO393" s="217"/>
      <c r="DP393" s="217"/>
      <c r="DQ393" s="217"/>
      <c r="DR393" s="217"/>
      <c r="DS393" s="229"/>
      <c r="DT393" s="229"/>
      <c r="DU393" s="229"/>
      <c r="DV393" s="217"/>
      <c r="DW393" s="217"/>
      <c r="DX393" s="230"/>
      <c r="DY393" s="231"/>
      <c r="DZ393" s="231"/>
      <c r="EA393" s="230"/>
      <c r="EB393" s="232"/>
      <c r="EC393" s="217"/>
      <c r="ED393" s="233"/>
      <c r="EE393" s="234"/>
      <c r="EF393" s="235"/>
      <c r="EG393" s="233"/>
      <c r="EH393" s="236"/>
      <c r="EI393" s="217"/>
      <c r="EJ393" s="237"/>
      <c r="EK393" s="217"/>
      <c r="EL393" s="217"/>
      <c r="EM393" s="238"/>
      <c r="EN393" s="236"/>
      <c r="EO393" s="239"/>
      <c r="EP393" s="236"/>
      <c r="EQ393" s="217"/>
      <c r="ER393" s="217"/>
      <c r="ES393" s="236"/>
      <c r="ET393" s="236"/>
      <c r="EU393" s="236"/>
      <c r="EV393" s="239"/>
      <c r="EW393" s="236"/>
      <c r="EX393" s="217"/>
      <c r="EY393" s="240"/>
      <c r="EZ393" s="241"/>
      <c r="FA393" s="240"/>
      <c r="FB393" s="241"/>
      <c r="FC393" s="240"/>
      <c r="FD393" s="217"/>
      <c r="FE393" s="240"/>
      <c r="FF393" s="217"/>
      <c r="FG393" s="217"/>
      <c r="FH393" s="217"/>
      <c r="FI393" s="217"/>
      <c r="FJ393" s="217"/>
      <c r="FK393" s="240"/>
      <c r="FL393" s="217"/>
      <c r="FM393" s="240"/>
      <c r="FN393" s="217"/>
      <c r="FO393" s="240"/>
      <c r="FP393" s="217"/>
      <c r="FQ393" s="240"/>
      <c r="FR393" s="217"/>
      <c r="FS393" s="236"/>
      <c r="FT393" s="236"/>
      <c r="FU393" s="236"/>
      <c r="FV393" s="236"/>
      <c r="FW393" s="239"/>
      <c r="FX393" s="236"/>
      <c r="FY393" s="217"/>
      <c r="FZ393" s="240"/>
      <c r="GA393" s="217"/>
      <c r="GB393" s="242"/>
      <c r="GC393" s="217"/>
      <c r="GD393" s="240"/>
      <c r="GE393" s="240"/>
      <c r="GF393" s="240"/>
      <c r="GG393" s="240"/>
      <c r="GH393" s="240"/>
      <c r="GI393" s="217"/>
      <c r="GJ393" s="217"/>
      <c r="GK393" s="239"/>
      <c r="GL393" s="243"/>
    </row>
    <row r="394" ht="15.75" customHeight="1">
      <c r="A394" s="229"/>
      <c r="B394" s="258"/>
      <c r="C394" s="259"/>
      <c r="D394" s="260"/>
      <c r="E394" s="229"/>
      <c r="F394" s="261"/>
      <c r="G394" s="261"/>
      <c r="H394" s="262"/>
      <c r="I394" s="259"/>
      <c r="J394" s="259"/>
      <c r="K394" s="229"/>
      <c r="L394" s="229"/>
      <c r="M394" s="229"/>
      <c r="N394" s="229"/>
      <c r="O394" s="229"/>
      <c r="P394" s="217"/>
      <c r="Q394" s="229"/>
      <c r="R394" s="218"/>
      <c r="S394" s="265"/>
      <c r="T394" s="220"/>
      <c r="U394" s="220"/>
      <c r="V394" s="221"/>
      <c r="W394" s="220"/>
      <c r="X394" s="222"/>
      <c r="Y394" s="222"/>
      <c r="Z394" s="229"/>
      <c r="AA394" s="229"/>
      <c r="AB394" s="229"/>
      <c r="AC394" s="229"/>
      <c r="AD394" s="229"/>
      <c r="AE394" s="229"/>
      <c r="AF394" s="229"/>
      <c r="AG394" s="264"/>
      <c r="AH394" s="224"/>
      <c r="AI394" s="264"/>
      <c r="AJ394" s="224"/>
      <c r="AK394" s="237"/>
      <c r="AL394" s="258"/>
      <c r="AM394" s="258"/>
      <c r="AN394" s="229"/>
      <c r="AO394" s="229"/>
      <c r="AP394" s="229"/>
      <c r="AQ394" s="259"/>
      <c r="AR394" s="259"/>
      <c r="AS394" s="229"/>
      <c r="AT394" s="229"/>
      <c r="AU394" s="229"/>
      <c r="AV394" s="229"/>
      <c r="AW394" s="264"/>
      <c r="AX394" s="264"/>
      <c r="AY394" s="264"/>
      <c r="AZ394" s="264"/>
      <c r="BA394" s="219"/>
      <c r="BB394" s="219"/>
      <c r="BC394" s="229"/>
      <c r="BD394" s="229"/>
      <c r="BE394" s="217"/>
      <c r="BF394" s="229"/>
      <c r="BG394" s="258"/>
      <c r="BH394" s="258"/>
      <c r="BI394" s="229"/>
      <c r="BJ394" s="229"/>
      <c r="BK394" s="229"/>
      <c r="BL394" s="229"/>
      <c r="BM394" s="258"/>
      <c r="BN394" s="258"/>
      <c r="BO394" s="258"/>
      <c r="BP394" s="258"/>
      <c r="BQ394" s="229"/>
      <c r="BR394" s="258"/>
      <c r="BS394" s="258"/>
      <c r="BT394" s="258"/>
      <c r="BU394" s="258"/>
      <c r="BV394" s="229"/>
      <c r="BW394" s="229"/>
      <c r="BX394" s="241"/>
      <c r="BY394" s="241"/>
      <c r="BZ394" s="241"/>
      <c r="CA394" s="217"/>
      <c r="CB394" s="217"/>
      <c r="CC394" s="229"/>
      <c r="CD394" s="217"/>
      <c r="CE394" s="217"/>
      <c r="CF394" s="217"/>
      <c r="CG394" s="217"/>
      <c r="CH394" s="217"/>
      <c r="CI394" s="229"/>
      <c r="CJ394" s="217"/>
      <c r="CK394" s="217"/>
      <c r="CL394" s="217"/>
      <c r="CM394" s="217"/>
      <c r="CN394" s="217"/>
      <c r="CO394" s="229"/>
      <c r="CP394" s="217"/>
      <c r="CQ394" s="217"/>
      <c r="CR394" s="217"/>
      <c r="CS394" s="217"/>
      <c r="CT394" s="217"/>
      <c r="CU394" s="229"/>
      <c r="CV394" s="217"/>
      <c r="CW394" s="217"/>
      <c r="CX394" s="217"/>
      <c r="CY394" s="217"/>
      <c r="CZ394" s="217"/>
      <c r="DA394" s="229"/>
      <c r="DB394" s="217"/>
      <c r="DC394" s="217"/>
      <c r="DD394" s="217"/>
      <c r="DE394" s="217"/>
      <c r="DF394" s="217"/>
      <c r="DG394" s="229"/>
      <c r="DH394" s="217"/>
      <c r="DI394" s="217"/>
      <c r="DJ394" s="217"/>
      <c r="DK394" s="217"/>
      <c r="DL394" s="217"/>
      <c r="DM394" s="229"/>
      <c r="DN394" s="217"/>
      <c r="DO394" s="217"/>
      <c r="DP394" s="217"/>
      <c r="DQ394" s="217"/>
      <c r="DR394" s="217"/>
      <c r="DS394" s="229"/>
      <c r="DT394" s="229"/>
      <c r="DU394" s="229"/>
      <c r="DV394" s="217"/>
      <c r="DW394" s="217"/>
      <c r="DX394" s="230"/>
      <c r="DY394" s="231"/>
      <c r="DZ394" s="231"/>
      <c r="EA394" s="230"/>
      <c r="EB394" s="232"/>
      <c r="EC394" s="217"/>
      <c r="ED394" s="233"/>
      <c r="EE394" s="234"/>
      <c r="EF394" s="235"/>
      <c r="EG394" s="233"/>
      <c r="EH394" s="236"/>
      <c r="EI394" s="217"/>
      <c r="EJ394" s="237"/>
      <c r="EK394" s="217"/>
      <c r="EL394" s="217"/>
      <c r="EM394" s="238"/>
      <c r="EN394" s="236"/>
      <c r="EO394" s="239"/>
      <c r="EP394" s="236"/>
      <c r="EQ394" s="217"/>
      <c r="ER394" s="217"/>
      <c r="ES394" s="236"/>
      <c r="ET394" s="236"/>
      <c r="EU394" s="236"/>
      <c r="EV394" s="239"/>
      <c r="EW394" s="236"/>
      <c r="EX394" s="217"/>
      <c r="EY394" s="240"/>
      <c r="EZ394" s="241"/>
      <c r="FA394" s="240"/>
      <c r="FB394" s="241"/>
      <c r="FC394" s="240"/>
      <c r="FD394" s="217"/>
      <c r="FE394" s="240"/>
      <c r="FF394" s="217"/>
      <c r="FG394" s="217"/>
      <c r="FH394" s="217"/>
      <c r="FI394" s="217"/>
      <c r="FJ394" s="217"/>
      <c r="FK394" s="240"/>
      <c r="FL394" s="217"/>
      <c r="FM394" s="240"/>
      <c r="FN394" s="217"/>
      <c r="FO394" s="240"/>
      <c r="FP394" s="217"/>
      <c r="FQ394" s="240"/>
      <c r="FR394" s="217"/>
      <c r="FS394" s="236"/>
      <c r="FT394" s="236"/>
      <c r="FU394" s="236"/>
      <c r="FV394" s="236"/>
      <c r="FW394" s="239"/>
      <c r="FX394" s="236"/>
      <c r="FY394" s="217"/>
      <c r="FZ394" s="240"/>
      <c r="GA394" s="217"/>
      <c r="GB394" s="242"/>
      <c r="GC394" s="217"/>
      <c r="GD394" s="240"/>
      <c r="GE394" s="240"/>
      <c r="GF394" s="240"/>
      <c r="GG394" s="240"/>
      <c r="GH394" s="240"/>
      <c r="GI394" s="217"/>
      <c r="GJ394" s="217"/>
      <c r="GK394" s="239"/>
      <c r="GL394" s="243"/>
    </row>
    <row r="395" ht="15.75" customHeight="1">
      <c r="A395" s="229"/>
      <c r="B395" s="258"/>
      <c r="C395" s="259"/>
      <c r="D395" s="260"/>
      <c r="E395" s="229"/>
      <c r="F395" s="261"/>
      <c r="G395" s="261"/>
      <c r="H395" s="262"/>
      <c r="I395" s="259"/>
      <c r="J395" s="259"/>
      <c r="K395" s="229"/>
      <c r="L395" s="229"/>
      <c r="M395" s="229"/>
      <c r="N395" s="229"/>
      <c r="O395" s="229"/>
      <c r="P395" s="217"/>
      <c r="Q395" s="229"/>
      <c r="R395" s="218"/>
      <c r="S395" s="265"/>
      <c r="T395" s="220"/>
      <c r="U395" s="220"/>
      <c r="V395" s="221"/>
      <c r="W395" s="220"/>
      <c r="X395" s="222"/>
      <c r="Y395" s="222"/>
      <c r="Z395" s="229"/>
      <c r="AA395" s="229"/>
      <c r="AB395" s="229"/>
      <c r="AC395" s="229"/>
      <c r="AD395" s="229"/>
      <c r="AE395" s="229"/>
      <c r="AF395" s="229"/>
      <c r="AG395" s="264"/>
      <c r="AH395" s="224"/>
      <c r="AI395" s="264"/>
      <c r="AJ395" s="224"/>
      <c r="AK395" s="237"/>
      <c r="AL395" s="258"/>
      <c r="AM395" s="258"/>
      <c r="AN395" s="229"/>
      <c r="AO395" s="229"/>
      <c r="AP395" s="229"/>
      <c r="AQ395" s="259"/>
      <c r="AR395" s="259"/>
      <c r="AS395" s="229"/>
      <c r="AT395" s="229"/>
      <c r="AU395" s="229"/>
      <c r="AV395" s="229"/>
      <c r="AW395" s="264"/>
      <c r="AX395" s="264"/>
      <c r="AY395" s="264"/>
      <c r="AZ395" s="264"/>
      <c r="BA395" s="219"/>
      <c r="BB395" s="219"/>
      <c r="BC395" s="229"/>
      <c r="BD395" s="229"/>
      <c r="BE395" s="217"/>
      <c r="BF395" s="229"/>
      <c r="BG395" s="258"/>
      <c r="BH395" s="258"/>
      <c r="BI395" s="229"/>
      <c r="BJ395" s="229"/>
      <c r="BK395" s="229"/>
      <c r="BL395" s="229"/>
      <c r="BM395" s="258"/>
      <c r="BN395" s="258"/>
      <c r="BO395" s="258"/>
      <c r="BP395" s="258"/>
      <c r="BQ395" s="229"/>
      <c r="BR395" s="258"/>
      <c r="BS395" s="258"/>
      <c r="BT395" s="258"/>
      <c r="BU395" s="258"/>
      <c r="BV395" s="229"/>
      <c r="BW395" s="229"/>
      <c r="BX395" s="241"/>
      <c r="BY395" s="241"/>
      <c r="BZ395" s="241"/>
      <c r="CA395" s="217"/>
      <c r="CB395" s="217"/>
      <c r="CC395" s="229"/>
      <c r="CD395" s="217"/>
      <c r="CE395" s="217"/>
      <c r="CF395" s="217"/>
      <c r="CG395" s="217"/>
      <c r="CH395" s="217"/>
      <c r="CI395" s="229"/>
      <c r="CJ395" s="217"/>
      <c r="CK395" s="217"/>
      <c r="CL395" s="217"/>
      <c r="CM395" s="217"/>
      <c r="CN395" s="217"/>
      <c r="CO395" s="229"/>
      <c r="CP395" s="217"/>
      <c r="CQ395" s="217"/>
      <c r="CR395" s="217"/>
      <c r="CS395" s="217"/>
      <c r="CT395" s="217"/>
      <c r="CU395" s="229"/>
      <c r="CV395" s="217"/>
      <c r="CW395" s="217"/>
      <c r="CX395" s="217"/>
      <c r="CY395" s="217"/>
      <c r="CZ395" s="217"/>
      <c r="DA395" s="229"/>
      <c r="DB395" s="217"/>
      <c r="DC395" s="217"/>
      <c r="DD395" s="217"/>
      <c r="DE395" s="217"/>
      <c r="DF395" s="217"/>
      <c r="DG395" s="229"/>
      <c r="DH395" s="217"/>
      <c r="DI395" s="217"/>
      <c r="DJ395" s="217"/>
      <c r="DK395" s="217"/>
      <c r="DL395" s="217"/>
      <c r="DM395" s="229"/>
      <c r="DN395" s="217"/>
      <c r="DO395" s="217"/>
      <c r="DP395" s="217"/>
      <c r="DQ395" s="217"/>
      <c r="DR395" s="217"/>
      <c r="DS395" s="229"/>
      <c r="DT395" s="229"/>
      <c r="DU395" s="229"/>
      <c r="DV395" s="217"/>
      <c r="DW395" s="217"/>
      <c r="DX395" s="230"/>
      <c r="DY395" s="231"/>
      <c r="DZ395" s="231"/>
      <c r="EA395" s="230"/>
      <c r="EB395" s="232"/>
      <c r="EC395" s="217"/>
      <c r="ED395" s="233"/>
      <c r="EE395" s="234"/>
      <c r="EF395" s="235"/>
      <c r="EG395" s="233"/>
      <c r="EH395" s="236"/>
      <c r="EI395" s="217"/>
      <c r="EJ395" s="237"/>
      <c r="EK395" s="217"/>
      <c r="EL395" s="217"/>
      <c r="EM395" s="238"/>
      <c r="EN395" s="236"/>
      <c r="EO395" s="239"/>
      <c r="EP395" s="236"/>
      <c r="EQ395" s="217"/>
      <c r="ER395" s="217"/>
      <c r="ES395" s="236"/>
      <c r="ET395" s="236"/>
      <c r="EU395" s="236"/>
      <c r="EV395" s="239"/>
      <c r="EW395" s="236"/>
      <c r="EX395" s="217"/>
      <c r="EY395" s="240"/>
      <c r="EZ395" s="241"/>
      <c r="FA395" s="240"/>
      <c r="FB395" s="241"/>
      <c r="FC395" s="240"/>
      <c r="FD395" s="217"/>
      <c r="FE395" s="240"/>
      <c r="FF395" s="217"/>
      <c r="FG395" s="217"/>
      <c r="FH395" s="217"/>
      <c r="FI395" s="217"/>
      <c r="FJ395" s="217"/>
      <c r="FK395" s="240"/>
      <c r="FL395" s="217"/>
      <c r="FM395" s="240"/>
      <c r="FN395" s="217"/>
      <c r="FO395" s="240"/>
      <c r="FP395" s="217"/>
      <c r="FQ395" s="240"/>
      <c r="FR395" s="217"/>
      <c r="FS395" s="236"/>
      <c r="FT395" s="236"/>
      <c r="FU395" s="236"/>
      <c r="FV395" s="236"/>
      <c r="FW395" s="239"/>
      <c r="FX395" s="236"/>
      <c r="FY395" s="217"/>
      <c r="FZ395" s="240"/>
      <c r="GA395" s="217"/>
      <c r="GB395" s="242"/>
      <c r="GC395" s="217"/>
      <c r="GD395" s="240"/>
      <c r="GE395" s="240"/>
      <c r="GF395" s="240"/>
      <c r="GG395" s="240"/>
      <c r="GH395" s="240"/>
      <c r="GI395" s="217"/>
      <c r="GJ395" s="217"/>
      <c r="GK395" s="239"/>
      <c r="GL395" s="243"/>
    </row>
    <row r="396" ht="15.75" customHeight="1">
      <c r="A396" s="229"/>
      <c r="B396" s="258"/>
      <c r="C396" s="259"/>
      <c r="D396" s="260"/>
      <c r="E396" s="229"/>
      <c r="F396" s="261"/>
      <c r="G396" s="261"/>
      <c r="H396" s="262"/>
      <c r="I396" s="259"/>
      <c r="J396" s="259"/>
      <c r="K396" s="229"/>
      <c r="L396" s="229"/>
      <c r="M396" s="229"/>
      <c r="N396" s="229"/>
      <c r="O396" s="229"/>
      <c r="P396" s="217"/>
      <c r="Q396" s="229"/>
      <c r="R396" s="218"/>
      <c r="S396" s="265"/>
      <c r="T396" s="220"/>
      <c r="U396" s="220"/>
      <c r="V396" s="221"/>
      <c r="W396" s="220"/>
      <c r="X396" s="222"/>
      <c r="Y396" s="222"/>
      <c r="Z396" s="229"/>
      <c r="AA396" s="229"/>
      <c r="AB396" s="229"/>
      <c r="AC396" s="229"/>
      <c r="AD396" s="229"/>
      <c r="AE396" s="229"/>
      <c r="AF396" s="229"/>
      <c r="AG396" s="264"/>
      <c r="AH396" s="224"/>
      <c r="AI396" s="264"/>
      <c r="AJ396" s="224"/>
      <c r="AK396" s="237"/>
      <c r="AL396" s="258"/>
      <c r="AM396" s="258"/>
      <c r="AN396" s="229"/>
      <c r="AO396" s="229"/>
      <c r="AP396" s="229"/>
      <c r="AQ396" s="259"/>
      <c r="AR396" s="259"/>
      <c r="AS396" s="229"/>
      <c r="AT396" s="229"/>
      <c r="AU396" s="229"/>
      <c r="AV396" s="229"/>
      <c r="AW396" s="264"/>
      <c r="AX396" s="264"/>
      <c r="AY396" s="264"/>
      <c r="AZ396" s="264"/>
      <c r="BA396" s="219"/>
      <c r="BB396" s="219"/>
      <c r="BC396" s="229"/>
      <c r="BD396" s="229"/>
      <c r="BE396" s="217"/>
      <c r="BF396" s="229"/>
      <c r="BG396" s="258"/>
      <c r="BH396" s="258"/>
      <c r="BI396" s="229"/>
      <c r="BJ396" s="229"/>
      <c r="BK396" s="229"/>
      <c r="BL396" s="229"/>
      <c r="BM396" s="258"/>
      <c r="BN396" s="258"/>
      <c r="BO396" s="258"/>
      <c r="BP396" s="258"/>
      <c r="BQ396" s="229"/>
      <c r="BR396" s="258"/>
      <c r="BS396" s="258"/>
      <c r="BT396" s="258"/>
      <c r="BU396" s="258"/>
      <c r="BV396" s="229"/>
      <c r="BW396" s="229"/>
      <c r="BX396" s="241"/>
      <c r="BY396" s="241"/>
      <c r="BZ396" s="241"/>
      <c r="CA396" s="217"/>
      <c r="CB396" s="217"/>
      <c r="CC396" s="229"/>
      <c r="CD396" s="217"/>
      <c r="CE396" s="217"/>
      <c r="CF396" s="217"/>
      <c r="CG396" s="217"/>
      <c r="CH396" s="217"/>
      <c r="CI396" s="229"/>
      <c r="CJ396" s="217"/>
      <c r="CK396" s="217"/>
      <c r="CL396" s="217"/>
      <c r="CM396" s="217"/>
      <c r="CN396" s="217"/>
      <c r="CO396" s="229"/>
      <c r="CP396" s="217"/>
      <c r="CQ396" s="217"/>
      <c r="CR396" s="217"/>
      <c r="CS396" s="217"/>
      <c r="CT396" s="217"/>
      <c r="CU396" s="229"/>
      <c r="CV396" s="217"/>
      <c r="CW396" s="217"/>
      <c r="CX396" s="217"/>
      <c r="CY396" s="217"/>
      <c r="CZ396" s="217"/>
      <c r="DA396" s="229"/>
      <c r="DB396" s="217"/>
      <c r="DC396" s="217"/>
      <c r="DD396" s="217"/>
      <c r="DE396" s="217"/>
      <c r="DF396" s="217"/>
      <c r="DG396" s="229"/>
      <c r="DH396" s="217"/>
      <c r="DI396" s="217"/>
      <c r="DJ396" s="217"/>
      <c r="DK396" s="217"/>
      <c r="DL396" s="217"/>
      <c r="DM396" s="229"/>
      <c r="DN396" s="217"/>
      <c r="DO396" s="217"/>
      <c r="DP396" s="217"/>
      <c r="DQ396" s="217"/>
      <c r="DR396" s="217"/>
      <c r="DS396" s="229"/>
      <c r="DT396" s="229"/>
      <c r="DU396" s="229"/>
      <c r="DV396" s="217"/>
      <c r="DW396" s="217"/>
      <c r="DX396" s="230"/>
      <c r="DY396" s="231"/>
      <c r="DZ396" s="231"/>
      <c r="EA396" s="230"/>
      <c r="EB396" s="232"/>
      <c r="EC396" s="217"/>
      <c r="ED396" s="233"/>
      <c r="EE396" s="234"/>
      <c r="EF396" s="235"/>
      <c r="EG396" s="233"/>
      <c r="EH396" s="236"/>
      <c r="EI396" s="217"/>
      <c r="EJ396" s="237"/>
      <c r="EK396" s="217"/>
      <c r="EL396" s="217"/>
      <c r="EM396" s="238"/>
      <c r="EN396" s="236"/>
      <c r="EO396" s="239"/>
      <c r="EP396" s="236"/>
      <c r="EQ396" s="217"/>
      <c r="ER396" s="217"/>
      <c r="ES396" s="236"/>
      <c r="ET396" s="236"/>
      <c r="EU396" s="236"/>
      <c r="EV396" s="239"/>
      <c r="EW396" s="236"/>
      <c r="EX396" s="217"/>
      <c r="EY396" s="240"/>
      <c r="EZ396" s="241"/>
      <c r="FA396" s="240"/>
      <c r="FB396" s="241"/>
      <c r="FC396" s="240"/>
      <c r="FD396" s="217"/>
      <c r="FE396" s="240"/>
      <c r="FF396" s="217"/>
      <c r="FG396" s="217"/>
      <c r="FH396" s="217"/>
      <c r="FI396" s="217"/>
      <c r="FJ396" s="217"/>
      <c r="FK396" s="240"/>
      <c r="FL396" s="217"/>
      <c r="FM396" s="240"/>
      <c r="FN396" s="217"/>
      <c r="FO396" s="240"/>
      <c r="FP396" s="217"/>
      <c r="FQ396" s="240"/>
      <c r="FR396" s="217"/>
      <c r="FS396" s="236"/>
      <c r="FT396" s="236"/>
      <c r="FU396" s="236"/>
      <c r="FV396" s="236"/>
      <c r="FW396" s="239"/>
      <c r="FX396" s="236"/>
      <c r="FY396" s="217"/>
      <c r="FZ396" s="240"/>
      <c r="GA396" s="217"/>
      <c r="GB396" s="242"/>
      <c r="GC396" s="217"/>
      <c r="GD396" s="240"/>
      <c r="GE396" s="240"/>
      <c r="GF396" s="240"/>
      <c r="GG396" s="240"/>
      <c r="GH396" s="240"/>
      <c r="GI396" s="217"/>
      <c r="GJ396" s="217"/>
      <c r="GK396" s="239"/>
      <c r="GL396" s="243"/>
    </row>
    <row r="397" ht="15.75" customHeight="1">
      <c r="A397" s="229"/>
      <c r="B397" s="258"/>
      <c r="C397" s="259"/>
      <c r="D397" s="260"/>
      <c r="E397" s="229"/>
      <c r="F397" s="261"/>
      <c r="G397" s="261"/>
      <c r="H397" s="262"/>
      <c r="I397" s="259"/>
      <c r="J397" s="259"/>
      <c r="K397" s="229"/>
      <c r="L397" s="229"/>
      <c r="M397" s="229"/>
      <c r="N397" s="229"/>
      <c r="O397" s="229"/>
      <c r="P397" s="217"/>
      <c r="Q397" s="229"/>
      <c r="R397" s="218"/>
      <c r="S397" s="265"/>
      <c r="T397" s="220"/>
      <c r="U397" s="220"/>
      <c r="V397" s="221"/>
      <c r="W397" s="220"/>
      <c r="X397" s="222"/>
      <c r="Y397" s="222"/>
      <c r="Z397" s="229"/>
      <c r="AA397" s="229"/>
      <c r="AB397" s="229"/>
      <c r="AC397" s="229"/>
      <c r="AD397" s="229"/>
      <c r="AE397" s="229"/>
      <c r="AF397" s="229"/>
      <c r="AG397" s="264"/>
      <c r="AH397" s="224"/>
      <c r="AI397" s="264"/>
      <c r="AJ397" s="224"/>
      <c r="AK397" s="237"/>
      <c r="AL397" s="258"/>
      <c r="AM397" s="258"/>
      <c r="AN397" s="229"/>
      <c r="AO397" s="229"/>
      <c r="AP397" s="229"/>
      <c r="AQ397" s="259"/>
      <c r="AR397" s="259"/>
      <c r="AS397" s="229"/>
      <c r="AT397" s="229"/>
      <c r="AU397" s="229"/>
      <c r="AV397" s="229"/>
      <c r="AW397" s="264"/>
      <c r="AX397" s="264"/>
      <c r="AY397" s="264"/>
      <c r="AZ397" s="264"/>
      <c r="BA397" s="219"/>
      <c r="BB397" s="219"/>
      <c r="BC397" s="229"/>
      <c r="BD397" s="229"/>
      <c r="BE397" s="217"/>
      <c r="BF397" s="229"/>
      <c r="BG397" s="258"/>
      <c r="BH397" s="258"/>
      <c r="BI397" s="229"/>
      <c r="BJ397" s="229"/>
      <c r="BK397" s="229"/>
      <c r="BL397" s="229"/>
      <c r="BM397" s="258"/>
      <c r="BN397" s="258"/>
      <c r="BO397" s="258"/>
      <c r="BP397" s="258"/>
      <c r="BQ397" s="229"/>
      <c r="BR397" s="258"/>
      <c r="BS397" s="258"/>
      <c r="BT397" s="258"/>
      <c r="BU397" s="258"/>
      <c r="BV397" s="229"/>
      <c r="BW397" s="229"/>
      <c r="BX397" s="241"/>
      <c r="BY397" s="241"/>
      <c r="BZ397" s="241"/>
      <c r="CA397" s="217"/>
      <c r="CB397" s="217"/>
      <c r="CC397" s="229"/>
      <c r="CD397" s="217"/>
      <c r="CE397" s="217"/>
      <c r="CF397" s="217"/>
      <c r="CG397" s="217"/>
      <c r="CH397" s="217"/>
      <c r="CI397" s="229"/>
      <c r="CJ397" s="217"/>
      <c r="CK397" s="217"/>
      <c r="CL397" s="217"/>
      <c r="CM397" s="217"/>
      <c r="CN397" s="217"/>
      <c r="CO397" s="229"/>
      <c r="CP397" s="217"/>
      <c r="CQ397" s="217"/>
      <c r="CR397" s="217"/>
      <c r="CS397" s="217"/>
      <c r="CT397" s="217"/>
      <c r="CU397" s="229"/>
      <c r="CV397" s="217"/>
      <c r="CW397" s="217"/>
      <c r="CX397" s="217"/>
      <c r="CY397" s="217"/>
      <c r="CZ397" s="217"/>
      <c r="DA397" s="229"/>
      <c r="DB397" s="217"/>
      <c r="DC397" s="217"/>
      <c r="DD397" s="217"/>
      <c r="DE397" s="217"/>
      <c r="DF397" s="217"/>
      <c r="DG397" s="229"/>
      <c r="DH397" s="217"/>
      <c r="DI397" s="217"/>
      <c r="DJ397" s="217"/>
      <c r="DK397" s="217"/>
      <c r="DL397" s="217"/>
      <c r="DM397" s="229"/>
      <c r="DN397" s="217"/>
      <c r="DO397" s="217"/>
      <c r="DP397" s="217"/>
      <c r="DQ397" s="217"/>
      <c r="DR397" s="217"/>
      <c r="DS397" s="229"/>
      <c r="DT397" s="229"/>
      <c r="DU397" s="229"/>
      <c r="DV397" s="217"/>
      <c r="DW397" s="217"/>
      <c r="DX397" s="230"/>
      <c r="DY397" s="231"/>
      <c r="DZ397" s="231"/>
      <c r="EA397" s="230"/>
      <c r="EB397" s="232"/>
      <c r="EC397" s="217"/>
      <c r="ED397" s="233"/>
      <c r="EE397" s="234"/>
      <c r="EF397" s="235"/>
      <c r="EG397" s="233"/>
      <c r="EH397" s="236"/>
      <c r="EI397" s="217"/>
      <c r="EJ397" s="237"/>
      <c r="EK397" s="217"/>
      <c r="EL397" s="217"/>
      <c r="EM397" s="238"/>
      <c r="EN397" s="236"/>
      <c r="EO397" s="239"/>
      <c r="EP397" s="236"/>
      <c r="EQ397" s="217"/>
      <c r="ER397" s="217"/>
      <c r="ES397" s="236"/>
      <c r="ET397" s="236"/>
      <c r="EU397" s="236"/>
      <c r="EV397" s="239"/>
      <c r="EW397" s="236"/>
      <c r="EX397" s="217"/>
      <c r="EY397" s="240"/>
      <c r="EZ397" s="241"/>
      <c r="FA397" s="240"/>
      <c r="FB397" s="241"/>
      <c r="FC397" s="240"/>
      <c r="FD397" s="217"/>
      <c r="FE397" s="240"/>
      <c r="FF397" s="217"/>
      <c r="FG397" s="217"/>
      <c r="FH397" s="217"/>
      <c r="FI397" s="217"/>
      <c r="FJ397" s="217"/>
      <c r="FK397" s="240"/>
      <c r="FL397" s="217"/>
      <c r="FM397" s="240"/>
      <c r="FN397" s="217"/>
      <c r="FO397" s="240"/>
      <c r="FP397" s="217"/>
      <c r="FQ397" s="240"/>
      <c r="FR397" s="217"/>
      <c r="FS397" s="236"/>
      <c r="FT397" s="236"/>
      <c r="FU397" s="236"/>
      <c r="FV397" s="236"/>
      <c r="FW397" s="239"/>
      <c r="FX397" s="236"/>
      <c r="FY397" s="217"/>
      <c r="FZ397" s="240"/>
      <c r="GA397" s="217"/>
      <c r="GB397" s="242"/>
      <c r="GC397" s="217"/>
      <c r="GD397" s="240"/>
      <c r="GE397" s="240"/>
      <c r="GF397" s="240"/>
      <c r="GG397" s="240"/>
      <c r="GH397" s="240"/>
      <c r="GI397" s="217"/>
      <c r="GJ397" s="217"/>
      <c r="GK397" s="239"/>
      <c r="GL397" s="243"/>
    </row>
    <row r="398" ht="15.75" customHeight="1">
      <c r="A398" s="229"/>
      <c r="B398" s="258"/>
      <c r="C398" s="259"/>
      <c r="D398" s="260"/>
      <c r="E398" s="229"/>
      <c r="F398" s="261"/>
      <c r="G398" s="261"/>
      <c r="H398" s="262"/>
      <c r="I398" s="259"/>
      <c r="J398" s="259"/>
      <c r="K398" s="229"/>
      <c r="L398" s="229"/>
      <c r="M398" s="229"/>
      <c r="N398" s="229"/>
      <c r="O398" s="229"/>
      <c r="P398" s="217"/>
      <c r="Q398" s="229"/>
      <c r="R398" s="218"/>
      <c r="S398" s="265"/>
      <c r="T398" s="220"/>
      <c r="U398" s="220"/>
      <c r="V398" s="221"/>
      <c r="W398" s="220"/>
      <c r="X398" s="222"/>
      <c r="Y398" s="222"/>
      <c r="Z398" s="229"/>
      <c r="AA398" s="229"/>
      <c r="AB398" s="229"/>
      <c r="AC398" s="229"/>
      <c r="AD398" s="229"/>
      <c r="AE398" s="229"/>
      <c r="AF398" s="229"/>
      <c r="AG398" s="264"/>
      <c r="AH398" s="224"/>
      <c r="AI398" s="264"/>
      <c r="AJ398" s="224"/>
      <c r="AK398" s="237"/>
      <c r="AL398" s="258"/>
      <c r="AM398" s="258"/>
      <c r="AN398" s="229"/>
      <c r="AO398" s="229"/>
      <c r="AP398" s="229"/>
      <c r="AQ398" s="259"/>
      <c r="AR398" s="259"/>
      <c r="AS398" s="229"/>
      <c r="AT398" s="229"/>
      <c r="AU398" s="229"/>
      <c r="AV398" s="229"/>
      <c r="AW398" s="264"/>
      <c r="AX398" s="264"/>
      <c r="AY398" s="264"/>
      <c r="AZ398" s="264"/>
      <c r="BA398" s="219"/>
      <c r="BB398" s="219"/>
      <c r="BC398" s="229"/>
      <c r="BD398" s="229"/>
      <c r="BE398" s="217"/>
      <c r="BF398" s="229"/>
      <c r="BG398" s="258"/>
      <c r="BH398" s="258"/>
      <c r="BI398" s="229"/>
      <c r="BJ398" s="229"/>
      <c r="BK398" s="229"/>
      <c r="BL398" s="229"/>
      <c r="BM398" s="258"/>
      <c r="BN398" s="258"/>
      <c r="BO398" s="258"/>
      <c r="BP398" s="258"/>
      <c r="BQ398" s="229"/>
      <c r="BR398" s="258"/>
      <c r="BS398" s="258"/>
      <c r="BT398" s="258"/>
      <c r="BU398" s="258"/>
      <c r="BV398" s="229"/>
      <c r="BW398" s="229"/>
      <c r="BX398" s="241"/>
      <c r="BY398" s="241"/>
      <c r="BZ398" s="241"/>
      <c r="CA398" s="217"/>
      <c r="CB398" s="217"/>
      <c r="CC398" s="229"/>
      <c r="CD398" s="217"/>
      <c r="CE398" s="217"/>
      <c r="CF398" s="217"/>
      <c r="CG398" s="217"/>
      <c r="CH398" s="217"/>
      <c r="CI398" s="229"/>
      <c r="CJ398" s="217"/>
      <c r="CK398" s="217"/>
      <c r="CL398" s="217"/>
      <c r="CM398" s="217"/>
      <c r="CN398" s="217"/>
      <c r="CO398" s="229"/>
      <c r="CP398" s="217"/>
      <c r="CQ398" s="217"/>
      <c r="CR398" s="217"/>
      <c r="CS398" s="217"/>
      <c r="CT398" s="217"/>
      <c r="CU398" s="229"/>
      <c r="CV398" s="217"/>
      <c r="CW398" s="217"/>
      <c r="CX398" s="217"/>
      <c r="CY398" s="217"/>
      <c r="CZ398" s="217"/>
      <c r="DA398" s="229"/>
      <c r="DB398" s="217"/>
      <c r="DC398" s="217"/>
      <c r="DD398" s="217"/>
      <c r="DE398" s="217"/>
      <c r="DF398" s="217"/>
      <c r="DG398" s="229"/>
      <c r="DH398" s="217"/>
      <c r="DI398" s="217"/>
      <c r="DJ398" s="217"/>
      <c r="DK398" s="217"/>
      <c r="DL398" s="217"/>
      <c r="DM398" s="229"/>
      <c r="DN398" s="217"/>
      <c r="DO398" s="217"/>
      <c r="DP398" s="217"/>
      <c r="DQ398" s="217"/>
      <c r="DR398" s="217"/>
      <c r="DS398" s="229"/>
      <c r="DT398" s="229"/>
      <c r="DU398" s="229"/>
      <c r="DV398" s="217"/>
      <c r="DW398" s="217"/>
      <c r="DX398" s="230"/>
      <c r="DY398" s="231"/>
      <c r="DZ398" s="231"/>
      <c r="EA398" s="230"/>
      <c r="EB398" s="232"/>
      <c r="EC398" s="217"/>
      <c r="ED398" s="233"/>
      <c r="EE398" s="234"/>
      <c r="EF398" s="235"/>
      <c r="EG398" s="233"/>
      <c r="EH398" s="236"/>
      <c r="EI398" s="217"/>
      <c r="EJ398" s="237"/>
      <c r="EK398" s="217"/>
      <c r="EL398" s="217"/>
      <c r="EM398" s="238"/>
      <c r="EN398" s="236"/>
      <c r="EO398" s="239"/>
      <c r="EP398" s="236"/>
      <c r="EQ398" s="217"/>
      <c r="ER398" s="217"/>
      <c r="ES398" s="236"/>
      <c r="ET398" s="236"/>
      <c r="EU398" s="236"/>
      <c r="EV398" s="239"/>
      <c r="EW398" s="236"/>
      <c r="EX398" s="217"/>
      <c r="EY398" s="240"/>
      <c r="EZ398" s="241"/>
      <c r="FA398" s="240"/>
      <c r="FB398" s="241"/>
      <c r="FC398" s="240"/>
      <c r="FD398" s="217"/>
      <c r="FE398" s="240"/>
      <c r="FF398" s="217"/>
      <c r="FG398" s="217"/>
      <c r="FH398" s="217"/>
      <c r="FI398" s="217"/>
      <c r="FJ398" s="217"/>
      <c r="FK398" s="240"/>
      <c r="FL398" s="217"/>
      <c r="FM398" s="240"/>
      <c r="FN398" s="217"/>
      <c r="FO398" s="240"/>
      <c r="FP398" s="217"/>
      <c r="FQ398" s="240"/>
      <c r="FR398" s="217"/>
      <c r="FS398" s="236"/>
      <c r="FT398" s="236"/>
      <c r="FU398" s="236"/>
      <c r="FV398" s="236"/>
      <c r="FW398" s="239"/>
      <c r="FX398" s="236"/>
      <c r="FY398" s="217"/>
      <c r="FZ398" s="240"/>
      <c r="GA398" s="217"/>
      <c r="GB398" s="242"/>
      <c r="GC398" s="217"/>
      <c r="GD398" s="240"/>
      <c r="GE398" s="240"/>
      <c r="GF398" s="240"/>
      <c r="GG398" s="240"/>
      <c r="GH398" s="240"/>
      <c r="GI398" s="217"/>
      <c r="GJ398" s="217"/>
      <c r="GK398" s="239"/>
      <c r="GL398" s="243"/>
    </row>
    <row r="399" ht="15.75" customHeight="1">
      <c r="A399" s="229"/>
      <c r="B399" s="258"/>
      <c r="C399" s="259"/>
      <c r="D399" s="260"/>
      <c r="E399" s="229"/>
      <c r="F399" s="261"/>
      <c r="G399" s="261"/>
      <c r="H399" s="262"/>
      <c r="I399" s="259"/>
      <c r="J399" s="259"/>
      <c r="K399" s="229"/>
      <c r="L399" s="229"/>
      <c r="M399" s="229"/>
      <c r="N399" s="229"/>
      <c r="O399" s="229"/>
      <c r="P399" s="217"/>
      <c r="Q399" s="229"/>
      <c r="R399" s="218"/>
      <c r="S399" s="265"/>
      <c r="T399" s="220"/>
      <c r="U399" s="220"/>
      <c r="V399" s="221"/>
      <c r="W399" s="220"/>
      <c r="X399" s="222"/>
      <c r="Y399" s="222"/>
      <c r="Z399" s="229"/>
      <c r="AA399" s="229"/>
      <c r="AB399" s="229"/>
      <c r="AC399" s="229"/>
      <c r="AD399" s="229"/>
      <c r="AE399" s="229"/>
      <c r="AF399" s="229"/>
      <c r="AG399" s="264"/>
      <c r="AH399" s="224"/>
      <c r="AI399" s="264"/>
      <c r="AJ399" s="224"/>
      <c r="AK399" s="237"/>
      <c r="AL399" s="258"/>
      <c r="AM399" s="258"/>
      <c r="AN399" s="229"/>
      <c r="AO399" s="229"/>
      <c r="AP399" s="229"/>
      <c r="AQ399" s="259"/>
      <c r="AR399" s="259"/>
      <c r="AS399" s="229"/>
      <c r="AT399" s="229"/>
      <c r="AU399" s="229"/>
      <c r="AV399" s="229"/>
      <c r="AW399" s="264"/>
      <c r="AX399" s="264"/>
      <c r="AY399" s="264"/>
      <c r="AZ399" s="264"/>
      <c r="BA399" s="219"/>
      <c r="BB399" s="219"/>
      <c r="BC399" s="229"/>
      <c r="BD399" s="229"/>
      <c r="BE399" s="217"/>
      <c r="BF399" s="229"/>
      <c r="BG399" s="258"/>
      <c r="BH399" s="258"/>
      <c r="BI399" s="229"/>
      <c r="BJ399" s="229"/>
      <c r="BK399" s="229"/>
      <c r="BL399" s="229"/>
      <c r="BM399" s="258"/>
      <c r="BN399" s="258"/>
      <c r="BO399" s="258"/>
      <c r="BP399" s="258"/>
      <c r="BQ399" s="229"/>
      <c r="BR399" s="258"/>
      <c r="BS399" s="258"/>
      <c r="BT399" s="258"/>
      <c r="BU399" s="258"/>
      <c r="BV399" s="229"/>
      <c r="BW399" s="229"/>
      <c r="BX399" s="241"/>
      <c r="BY399" s="241"/>
      <c r="BZ399" s="241"/>
      <c r="CA399" s="217"/>
      <c r="CB399" s="217"/>
      <c r="CC399" s="229"/>
      <c r="CD399" s="217"/>
      <c r="CE399" s="217"/>
      <c r="CF399" s="217"/>
      <c r="CG399" s="217"/>
      <c r="CH399" s="217"/>
      <c r="CI399" s="229"/>
      <c r="CJ399" s="217"/>
      <c r="CK399" s="217"/>
      <c r="CL399" s="217"/>
      <c r="CM399" s="217"/>
      <c r="CN399" s="217"/>
      <c r="CO399" s="229"/>
      <c r="CP399" s="217"/>
      <c r="CQ399" s="217"/>
      <c r="CR399" s="217"/>
      <c r="CS399" s="217"/>
      <c r="CT399" s="217"/>
      <c r="CU399" s="229"/>
      <c r="CV399" s="217"/>
      <c r="CW399" s="217"/>
      <c r="CX399" s="217"/>
      <c r="CY399" s="217"/>
      <c r="CZ399" s="217"/>
      <c r="DA399" s="229"/>
      <c r="DB399" s="217"/>
      <c r="DC399" s="217"/>
      <c r="DD399" s="217"/>
      <c r="DE399" s="217"/>
      <c r="DF399" s="217"/>
      <c r="DG399" s="229"/>
      <c r="DH399" s="217"/>
      <c r="DI399" s="217"/>
      <c r="DJ399" s="217"/>
      <c r="DK399" s="217"/>
      <c r="DL399" s="217"/>
      <c r="DM399" s="229"/>
      <c r="DN399" s="217"/>
      <c r="DO399" s="217"/>
      <c r="DP399" s="217"/>
      <c r="DQ399" s="217"/>
      <c r="DR399" s="217"/>
      <c r="DS399" s="229"/>
      <c r="DT399" s="229"/>
      <c r="DU399" s="229"/>
      <c r="DV399" s="217"/>
      <c r="DW399" s="217"/>
      <c r="DX399" s="230"/>
      <c r="DY399" s="231"/>
      <c r="DZ399" s="231"/>
      <c r="EA399" s="230"/>
      <c r="EB399" s="232"/>
      <c r="EC399" s="217"/>
      <c r="ED399" s="233"/>
      <c r="EE399" s="234"/>
      <c r="EF399" s="235"/>
      <c r="EG399" s="233"/>
      <c r="EH399" s="236"/>
      <c r="EI399" s="217"/>
      <c r="EJ399" s="237"/>
      <c r="EK399" s="217"/>
      <c r="EL399" s="217"/>
      <c r="EM399" s="238"/>
      <c r="EN399" s="236"/>
      <c r="EO399" s="239"/>
      <c r="EP399" s="236"/>
      <c r="EQ399" s="217"/>
      <c r="ER399" s="217"/>
      <c r="ES399" s="236"/>
      <c r="ET399" s="236"/>
      <c r="EU399" s="236"/>
      <c r="EV399" s="239"/>
      <c r="EW399" s="236"/>
      <c r="EX399" s="217"/>
      <c r="EY399" s="240"/>
      <c r="EZ399" s="241"/>
      <c r="FA399" s="240"/>
      <c r="FB399" s="241"/>
      <c r="FC399" s="240"/>
      <c r="FD399" s="217"/>
      <c r="FE399" s="240"/>
      <c r="FF399" s="217"/>
      <c r="FG399" s="217"/>
      <c r="FH399" s="217"/>
      <c r="FI399" s="217"/>
      <c r="FJ399" s="217"/>
      <c r="FK399" s="240"/>
      <c r="FL399" s="217"/>
      <c r="FM399" s="240"/>
      <c r="FN399" s="217"/>
      <c r="FO399" s="240"/>
      <c r="FP399" s="217"/>
      <c r="FQ399" s="240"/>
      <c r="FR399" s="217"/>
      <c r="FS399" s="236"/>
      <c r="FT399" s="236"/>
      <c r="FU399" s="236"/>
      <c r="FV399" s="236"/>
      <c r="FW399" s="239"/>
      <c r="FX399" s="236"/>
      <c r="FY399" s="217"/>
      <c r="FZ399" s="240"/>
      <c r="GA399" s="217"/>
      <c r="GB399" s="242"/>
      <c r="GC399" s="217"/>
      <c r="GD399" s="240"/>
      <c r="GE399" s="240"/>
      <c r="GF399" s="240"/>
      <c r="GG399" s="240"/>
      <c r="GH399" s="240"/>
      <c r="GI399" s="217"/>
      <c r="GJ399" s="217"/>
      <c r="GK399" s="239"/>
      <c r="GL399" s="243"/>
    </row>
    <row r="400" ht="15.75" customHeight="1">
      <c r="A400" s="229"/>
      <c r="B400" s="258"/>
      <c r="C400" s="259"/>
      <c r="D400" s="260"/>
      <c r="E400" s="229"/>
      <c r="F400" s="261"/>
      <c r="G400" s="261"/>
      <c r="H400" s="262"/>
      <c r="I400" s="259"/>
      <c r="J400" s="259"/>
      <c r="K400" s="229"/>
      <c r="L400" s="229"/>
      <c r="M400" s="229"/>
      <c r="N400" s="229"/>
      <c r="O400" s="229"/>
      <c r="P400" s="217"/>
      <c r="Q400" s="229"/>
      <c r="R400" s="218"/>
      <c r="S400" s="265"/>
      <c r="T400" s="220"/>
      <c r="U400" s="220"/>
      <c r="V400" s="221"/>
      <c r="W400" s="220"/>
      <c r="X400" s="222"/>
      <c r="Y400" s="222"/>
      <c r="Z400" s="229"/>
      <c r="AA400" s="229"/>
      <c r="AB400" s="229"/>
      <c r="AC400" s="229"/>
      <c r="AD400" s="229"/>
      <c r="AE400" s="229"/>
      <c r="AF400" s="229"/>
      <c r="AG400" s="264"/>
      <c r="AH400" s="224"/>
      <c r="AI400" s="264"/>
      <c r="AJ400" s="224"/>
      <c r="AK400" s="237"/>
      <c r="AL400" s="258"/>
      <c r="AM400" s="258"/>
      <c r="AN400" s="229"/>
      <c r="AO400" s="229"/>
      <c r="AP400" s="229"/>
      <c r="AQ400" s="259"/>
      <c r="AR400" s="259"/>
      <c r="AS400" s="229"/>
      <c r="AT400" s="229"/>
      <c r="AU400" s="229"/>
      <c r="AV400" s="229"/>
      <c r="AW400" s="264"/>
      <c r="AX400" s="264"/>
      <c r="AY400" s="264"/>
      <c r="AZ400" s="264"/>
      <c r="BA400" s="219"/>
      <c r="BB400" s="219"/>
      <c r="BC400" s="229"/>
      <c r="BD400" s="229"/>
      <c r="BE400" s="217"/>
      <c r="BF400" s="229"/>
      <c r="BG400" s="258"/>
      <c r="BH400" s="258"/>
      <c r="BI400" s="229"/>
      <c r="BJ400" s="229"/>
      <c r="BK400" s="229"/>
      <c r="BL400" s="229"/>
      <c r="BM400" s="258"/>
      <c r="BN400" s="258"/>
      <c r="BO400" s="258"/>
      <c r="BP400" s="258"/>
      <c r="BQ400" s="229"/>
      <c r="BR400" s="258"/>
      <c r="BS400" s="258"/>
      <c r="BT400" s="258"/>
      <c r="BU400" s="258"/>
      <c r="BV400" s="229"/>
      <c r="BW400" s="229"/>
      <c r="BX400" s="241"/>
      <c r="BY400" s="241"/>
      <c r="BZ400" s="241"/>
      <c r="CA400" s="217"/>
      <c r="CB400" s="217"/>
      <c r="CC400" s="229"/>
      <c r="CD400" s="217"/>
      <c r="CE400" s="217"/>
      <c r="CF400" s="217"/>
      <c r="CG400" s="217"/>
      <c r="CH400" s="217"/>
      <c r="CI400" s="229"/>
      <c r="CJ400" s="217"/>
      <c r="CK400" s="217"/>
      <c r="CL400" s="217"/>
      <c r="CM400" s="217"/>
      <c r="CN400" s="217"/>
      <c r="CO400" s="229"/>
      <c r="CP400" s="217"/>
      <c r="CQ400" s="217"/>
      <c r="CR400" s="217"/>
      <c r="CS400" s="217"/>
      <c r="CT400" s="217"/>
      <c r="CU400" s="229"/>
      <c r="CV400" s="217"/>
      <c r="CW400" s="217"/>
      <c r="CX400" s="217"/>
      <c r="CY400" s="217"/>
      <c r="CZ400" s="217"/>
      <c r="DA400" s="229"/>
      <c r="DB400" s="217"/>
      <c r="DC400" s="217"/>
      <c r="DD400" s="217"/>
      <c r="DE400" s="217"/>
      <c r="DF400" s="217"/>
      <c r="DG400" s="229"/>
      <c r="DH400" s="217"/>
      <c r="DI400" s="217"/>
      <c r="DJ400" s="217"/>
      <c r="DK400" s="217"/>
      <c r="DL400" s="217"/>
      <c r="DM400" s="229"/>
      <c r="DN400" s="217"/>
      <c r="DO400" s="217"/>
      <c r="DP400" s="217"/>
      <c r="DQ400" s="217"/>
      <c r="DR400" s="217"/>
      <c r="DS400" s="229"/>
      <c r="DT400" s="229"/>
      <c r="DU400" s="229"/>
      <c r="DV400" s="217"/>
      <c r="DW400" s="217"/>
      <c r="DX400" s="230"/>
      <c r="DY400" s="231"/>
      <c r="DZ400" s="231"/>
      <c r="EA400" s="230"/>
      <c r="EB400" s="232"/>
      <c r="EC400" s="217"/>
      <c r="ED400" s="233"/>
      <c r="EE400" s="234"/>
      <c r="EF400" s="235"/>
      <c r="EG400" s="233"/>
      <c r="EH400" s="236"/>
      <c r="EI400" s="217"/>
      <c r="EJ400" s="237"/>
      <c r="EK400" s="217"/>
      <c r="EL400" s="217"/>
      <c r="EM400" s="238"/>
      <c r="EN400" s="236"/>
      <c r="EO400" s="239"/>
      <c r="EP400" s="236"/>
      <c r="EQ400" s="217"/>
      <c r="ER400" s="217"/>
      <c r="ES400" s="236"/>
      <c r="ET400" s="236"/>
      <c r="EU400" s="236"/>
      <c r="EV400" s="239"/>
      <c r="EW400" s="236"/>
      <c r="EX400" s="217"/>
      <c r="EY400" s="240"/>
      <c r="EZ400" s="241"/>
      <c r="FA400" s="240"/>
      <c r="FB400" s="241"/>
      <c r="FC400" s="240"/>
      <c r="FD400" s="217"/>
      <c r="FE400" s="240"/>
      <c r="FF400" s="217"/>
      <c r="FG400" s="217"/>
      <c r="FH400" s="217"/>
      <c r="FI400" s="217"/>
      <c r="FJ400" s="217"/>
      <c r="FK400" s="240"/>
      <c r="FL400" s="217"/>
      <c r="FM400" s="240"/>
      <c r="FN400" s="217"/>
      <c r="FO400" s="240"/>
      <c r="FP400" s="217"/>
      <c r="FQ400" s="240"/>
      <c r="FR400" s="217"/>
      <c r="FS400" s="236"/>
      <c r="FT400" s="236"/>
      <c r="FU400" s="236"/>
      <c r="FV400" s="236"/>
      <c r="FW400" s="239"/>
      <c r="FX400" s="236"/>
      <c r="FY400" s="217"/>
      <c r="FZ400" s="240"/>
      <c r="GA400" s="217"/>
      <c r="GB400" s="242"/>
      <c r="GC400" s="217"/>
      <c r="GD400" s="240"/>
      <c r="GE400" s="240"/>
      <c r="GF400" s="240"/>
      <c r="GG400" s="240"/>
      <c r="GH400" s="240"/>
      <c r="GI400" s="217"/>
      <c r="GJ400" s="217"/>
      <c r="GK400" s="239"/>
      <c r="GL400" s="243"/>
    </row>
    <row r="401" ht="15.75" customHeight="1">
      <c r="A401" s="229"/>
      <c r="B401" s="258"/>
      <c r="C401" s="259"/>
      <c r="D401" s="260"/>
      <c r="E401" s="229"/>
      <c r="F401" s="261"/>
      <c r="G401" s="261"/>
      <c r="H401" s="262"/>
      <c r="I401" s="259"/>
      <c r="J401" s="259"/>
      <c r="K401" s="229"/>
      <c r="L401" s="229"/>
      <c r="M401" s="229"/>
      <c r="N401" s="229"/>
      <c r="O401" s="229"/>
      <c r="P401" s="217"/>
      <c r="Q401" s="229"/>
      <c r="R401" s="218"/>
      <c r="S401" s="265"/>
      <c r="T401" s="220"/>
      <c r="U401" s="220"/>
      <c r="V401" s="221"/>
      <c r="W401" s="220"/>
      <c r="X401" s="222"/>
      <c r="Y401" s="222"/>
      <c r="Z401" s="229"/>
      <c r="AA401" s="229"/>
      <c r="AB401" s="229"/>
      <c r="AC401" s="229"/>
      <c r="AD401" s="229"/>
      <c r="AE401" s="229"/>
      <c r="AF401" s="229"/>
      <c r="AG401" s="264"/>
      <c r="AH401" s="224"/>
      <c r="AI401" s="264"/>
      <c r="AJ401" s="224"/>
      <c r="AK401" s="237"/>
      <c r="AL401" s="258"/>
      <c r="AM401" s="258"/>
      <c r="AN401" s="229"/>
      <c r="AO401" s="229"/>
      <c r="AP401" s="229"/>
      <c r="AQ401" s="259"/>
      <c r="AR401" s="259"/>
      <c r="AS401" s="229"/>
      <c r="AT401" s="229"/>
      <c r="AU401" s="229"/>
      <c r="AV401" s="229"/>
      <c r="AW401" s="264"/>
      <c r="AX401" s="264"/>
      <c r="AY401" s="264"/>
      <c r="AZ401" s="264"/>
      <c r="BA401" s="219"/>
      <c r="BB401" s="219"/>
      <c r="BC401" s="229"/>
      <c r="BD401" s="229"/>
      <c r="BE401" s="217"/>
      <c r="BF401" s="229"/>
      <c r="BG401" s="258"/>
      <c r="BH401" s="258"/>
      <c r="BI401" s="229"/>
      <c r="BJ401" s="229"/>
      <c r="BK401" s="229"/>
      <c r="BL401" s="229"/>
      <c r="BM401" s="258"/>
      <c r="BN401" s="258"/>
      <c r="BO401" s="258"/>
      <c r="BP401" s="258"/>
      <c r="BQ401" s="229"/>
      <c r="BR401" s="258"/>
      <c r="BS401" s="258"/>
      <c r="BT401" s="258"/>
      <c r="BU401" s="258"/>
      <c r="BV401" s="229"/>
      <c r="BW401" s="229"/>
      <c r="BX401" s="241"/>
      <c r="BY401" s="241"/>
      <c r="BZ401" s="241"/>
      <c r="CA401" s="217"/>
      <c r="CB401" s="217"/>
      <c r="CC401" s="229"/>
      <c r="CD401" s="217"/>
      <c r="CE401" s="217"/>
      <c r="CF401" s="217"/>
      <c r="CG401" s="217"/>
      <c r="CH401" s="217"/>
      <c r="CI401" s="229"/>
      <c r="CJ401" s="217"/>
      <c r="CK401" s="217"/>
      <c r="CL401" s="217"/>
      <c r="CM401" s="217"/>
      <c r="CN401" s="217"/>
      <c r="CO401" s="229"/>
      <c r="CP401" s="217"/>
      <c r="CQ401" s="217"/>
      <c r="CR401" s="217"/>
      <c r="CS401" s="217"/>
      <c r="CT401" s="217"/>
      <c r="CU401" s="229"/>
      <c r="CV401" s="217"/>
      <c r="CW401" s="217"/>
      <c r="CX401" s="217"/>
      <c r="CY401" s="217"/>
      <c r="CZ401" s="217"/>
      <c r="DA401" s="229"/>
      <c r="DB401" s="217"/>
      <c r="DC401" s="217"/>
      <c r="DD401" s="217"/>
      <c r="DE401" s="217"/>
      <c r="DF401" s="217"/>
      <c r="DG401" s="229"/>
      <c r="DH401" s="217"/>
      <c r="DI401" s="217"/>
      <c r="DJ401" s="217"/>
      <c r="DK401" s="217"/>
      <c r="DL401" s="217"/>
      <c r="DM401" s="229"/>
      <c r="DN401" s="217"/>
      <c r="DO401" s="217"/>
      <c r="DP401" s="217"/>
      <c r="DQ401" s="217"/>
      <c r="DR401" s="217"/>
      <c r="DS401" s="229"/>
      <c r="DT401" s="229"/>
      <c r="DU401" s="229"/>
      <c r="DV401" s="217"/>
      <c r="DW401" s="217"/>
      <c r="DX401" s="230"/>
      <c r="DY401" s="231"/>
      <c r="DZ401" s="231"/>
      <c r="EA401" s="230"/>
      <c r="EB401" s="232"/>
      <c r="EC401" s="217"/>
      <c r="ED401" s="233"/>
      <c r="EE401" s="234"/>
      <c r="EF401" s="235"/>
      <c r="EG401" s="233"/>
      <c r="EH401" s="236"/>
      <c r="EI401" s="217"/>
      <c r="EJ401" s="237"/>
      <c r="EK401" s="217"/>
      <c r="EL401" s="217"/>
      <c r="EM401" s="238"/>
      <c r="EN401" s="236"/>
      <c r="EO401" s="239"/>
      <c r="EP401" s="236"/>
      <c r="EQ401" s="217"/>
      <c r="ER401" s="217"/>
      <c r="ES401" s="236"/>
      <c r="ET401" s="236"/>
      <c r="EU401" s="236"/>
      <c r="EV401" s="239"/>
      <c r="EW401" s="236"/>
      <c r="EX401" s="217"/>
      <c r="EY401" s="240"/>
      <c r="EZ401" s="241"/>
      <c r="FA401" s="240"/>
      <c r="FB401" s="241"/>
      <c r="FC401" s="240"/>
      <c r="FD401" s="217"/>
      <c r="FE401" s="240"/>
      <c r="FF401" s="217"/>
      <c r="FG401" s="217"/>
      <c r="FH401" s="217"/>
      <c r="FI401" s="217"/>
      <c r="FJ401" s="217"/>
      <c r="FK401" s="240"/>
      <c r="FL401" s="217"/>
      <c r="FM401" s="240"/>
      <c r="FN401" s="217"/>
      <c r="FO401" s="240"/>
      <c r="FP401" s="217"/>
      <c r="FQ401" s="240"/>
      <c r="FR401" s="217"/>
      <c r="FS401" s="236"/>
      <c r="FT401" s="236"/>
      <c r="FU401" s="236"/>
      <c r="FV401" s="236"/>
      <c r="FW401" s="239"/>
      <c r="FX401" s="236"/>
      <c r="FY401" s="217"/>
      <c r="FZ401" s="240"/>
      <c r="GA401" s="217"/>
      <c r="GB401" s="242"/>
      <c r="GC401" s="217"/>
      <c r="GD401" s="240"/>
      <c r="GE401" s="240"/>
      <c r="GF401" s="240"/>
      <c r="GG401" s="240"/>
      <c r="GH401" s="240"/>
      <c r="GI401" s="217"/>
      <c r="GJ401" s="217"/>
      <c r="GK401" s="239"/>
      <c r="GL401" s="243"/>
    </row>
    <row r="402" ht="15.75" customHeight="1">
      <c r="A402" s="229"/>
      <c r="B402" s="258"/>
      <c r="C402" s="259"/>
      <c r="D402" s="260"/>
      <c r="E402" s="229"/>
      <c r="F402" s="261"/>
      <c r="G402" s="261"/>
      <c r="H402" s="262"/>
      <c r="I402" s="259"/>
      <c r="J402" s="259"/>
      <c r="K402" s="229"/>
      <c r="L402" s="229"/>
      <c r="M402" s="229"/>
      <c r="N402" s="229"/>
      <c r="O402" s="229"/>
      <c r="P402" s="217"/>
      <c r="Q402" s="229"/>
      <c r="R402" s="218"/>
      <c r="S402" s="265"/>
      <c r="T402" s="220"/>
      <c r="U402" s="220"/>
      <c r="V402" s="221"/>
      <c r="W402" s="220"/>
      <c r="X402" s="222"/>
      <c r="Y402" s="222"/>
      <c r="Z402" s="229"/>
      <c r="AA402" s="229"/>
      <c r="AB402" s="229"/>
      <c r="AC402" s="229"/>
      <c r="AD402" s="229"/>
      <c r="AE402" s="229"/>
      <c r="AF402" s="229"/>
      <c r="AG402" s="264"/>
      <c r="AH402" s="224"/>
      <c r="AI402" s="264"/>
      <c r="AJ402" s="224"/>
      <c r="AK402" s="237"/>
      <c r="AL402" s="258"/>
      <c r="AM402" s="258"/>
      <c r="AN402" s="229"/>
      <c r="AO402" s="229"/>
      <c r="AP402" s="229"/>
      <c r="AQ402" s="259"/>
      <c r="AR402" s="259"/>
      <c r="AS402" s="229"/>
      <c r="AT402" s="229"/>
      <c r="AU402" s="229"/>
      <c r="AV402" s="229"/>
      <c r="AW402" s="264"/>
      <c r="AX402" s="264"/>
      <c r="AY402" s="264"/>
      <c r="AZ402" s="264"/>
      <c r="BA402" s="219"/>
      <c r="BB402" s="219"/>
      <c r="BC402" s="229"/>
      <c r="BD402" s="229"/>
      <c r="BE402" s="217"/>
      <c r="BF402" s="229"/>
      <c r="BG402" s="258"/>
      <c r="BH402" s="258"/>
      <c r="BI402" s="229"/>
      <c r="BJ402" s="229"/>
      <c r="BK402" s="229"/>
      <c r="BL402" s="229"/>
      <c r="BM402" s="258"/>
      <c r="BN402" s="258"/>
      <c r="BO402" s="258"/>
      <c r="BP402" s="258"/>
      <c r="BQ402" s="229"/>
      <c r="BR402" s="258"/>
      <c r="BS402" s="258"/>
      <c r="BT402" s="258"/>
      <c r="BU402" s="258"/>
      <c r="BV402" s="229"/>
      <c r="BW402" s="229"/>
      <c r="BX402" s="241"/>
      <c r="BY402" s="241"/>
      <c r="BZ402" s="241"/>
      <c r="CA402" s="217"/>
      <c r="CB402" s="217"/>
      <c r="CC402" s="229"/>
      <c r="CD402" s="217"/>
      <c r="CE402" s="217"/>
      <c r="CF402" s="217"/>
      <c r="CG402" s="217"/>
      <c r="CH402" s="217"/>
      <c r="CI402" s="229"/>
      <c r="CJ402" s="217"/>
      <c r="CK402" s="217"/>
      <c r="CL402" s="217"/>
      <c r="CM402" s="217"/>
      <c r="CN402" s="217"/>
      <c r="CO402" s="229"/>
      <c r="CP402" s="217"/>
      <c r="CQ402" s="217"/>
      <c r="CR402" s="217"/>
      <c r="CS402" s="217"/>
      <c r="CT402" s="217"/>
      <c r="CU402" s="229"/>
      <c r="CV402" s="217"/>
      <c r="CW402" s="217"/>
      <c r="CX402" s="217"/>
      <c r="CY402" s="217"/>
      <c r="CZ402" s="217"/>
      <c r="DA402" s="229"/>
      <c r="DB402" s="217"/>
      <c r="DC402" s="217"/>
      <c r="DD402" s="217"/>
      <c r="DE402" s="217"/>
      <c r="DF402" s="217"/>
      <c r="DG402" s="229"/>
      <c r="DH402" s="217"/>
      <c r="DI402" s="217"/>
      <c r="DJ402" s="217"/>
      <c r="DK402" s="217"/>
      <c r="DL402" s="217"/>
      <c r="DM402" s="229"/>
      <c r="DN402" s="217"/>
      <c r="DO402" s="217"/>
      <c r="DP402" s="217"/>
      <c r="DQ402" s="217"/>
      <c r="DR402" s="217"/>
      <c r="DS402" s="229"/>
      <c r="DT402" s="229"/>
      <c r="DU402" s="229"/>
      <c r="DV402" s="217"/>
      <c r="DW402" s="217"/>
      <c r="DX402" s="230"/>
      <c r="DY402" s="231"/>
      <c r="DZ402" s="231"/>
      <c r="EA402" s="230"/>
      <c r="EB402" s="232"/>
      <c r="EC402" s="217"/>
      <c r="ED402" s="233"/>
      <c r="EE402" s="234"/>
      <c r="EF402" s="235"/>
      <c r="EG402" s="233"/>
      <c r="EH402" s="236"/>
      <c r="EI402" s="217"/>
      <c r="EJ402" s="237"/>
      <c r="EK402" s="217"/>
      <c r="EL402" s="217"/>
      <c r="EM402" s="238"/>
      <c r="EN402" s="236"/>
      <c r="EO402" s="239"/>
      <c r="EP402" s="236"/>
      <c r="EQ402" s="217"/>
      <c r="ER402" s="217"/>
      <c r="ES402" s="236"/>
      <c r="ET402" s="236"/>
      <c r="EU402" s="236"/>
      <c r="EV402" s="239"/>
      <c r="EW402" s="236"/>
      <c r="EX402" s="217"/>
      <c r="EY402" s="240"/>
      <c r="EZ402" s="241"/>
      <c r="FA402" s="240"/>
      <c r="FB402" s="241"/>
      <c r="FC402" s="240"/>
      <c r="FD402" s="217"/>
      <c r="FE402" s="240"/>
      <c r="FF402" s="217"/>
      <c r="FG402" s="217"/>
      <c r="FH402" s="217"/>
      <c r="FI402" s="217"/>
      <c r="FJ402" s="217"/>
      <c r="FK402" s="240"/>
      <c r="FL402" s="217"/>
      <c r="FM402" s="240"/>
      <c r="FN402" s="217"/>
      <c r="FO402" s="240"/>
      <c r="FP402" s="217"/>
      <c r="FQ402" s="240"/>
      <c r="FR402" s="217"/>
      <c r="FS402" s="236"/>
      <c r="FT402" s="236"/>
      <c r="FU402" s="236"/>
      <c r="FV402" s="236"/>
      <c r="FW402" s="239"/>
      <c r="FX402" s="236"/>
      <c r="FY402" s="217"/>
      <c r="FZ402" s="240"/>
      <c r="GA402" s="217"/>
      <c r="GB402" s="242"/>
      <c r="GC402" s="217"/>
      <c r="GD402" s="240"/>
      <c r="GE402" s="240"/>
      <c r="GF402" s="240"/>
      <c r="GG402" s="240"/>
      <c r="GH402" s="240"/>
      <c r="GI402" s="217"/>
      <c r="GJ402" s="217"/>
      <c r="GK402" s="239"/>
      <c r="GL402" s="243"/>
    </row>
    <row r="403" ht="15.75" customHeight="1">
      <c r="A403" s="229"/>
      <c r="B403" s="258"/>
      <c r="C403" s="259"/>
      <c r="D403" s="260"/>
      <c r="E403" s="229"/>
      <c r="F403" s="261"/>
      <c r="G403" s="261"/>
      <c r="H403" s="262"/>
      <c r="I403" s="259"/>
      <c r="J403" s="259"/>
      <c r="K403" s="229"/>
      <c r="L403" s="229"/>
      <c r="M403" s="229"/>
      <c r="N403" s="229"/>
      <c r="O403" s="229"/>
      <c r="P403" s="217"/>
      <c r="Q403" s="229"/>
      <c r="R403" s="218"/>
      <c r="S403" s="265"/>
      <c r="T403" s="220"/>
      <c r="U403" s="220"/>
      <c r="V403" s="221"/>
      <c r="W403" s="220"/>
      <c r="X403" s="222"/>
      <c r="Y403" s="222"/>
      <c r="Z403" s="229"/>
      <c r="AA403" s="229"/>
      <c r="AB403" s="229"/>
      <c r="AC403" s="229"/>
      <c r="AD403" s="229"/>
      <c r="AE403" s="229"/>
      <c r="AF403" s="229"/>
      <c r="AG403" s="264"/>
      <c r="AH403" s="224"/>
      <c r="AI403" s="264"/>
      <c r="AJ403" s="224"/>
      <c r="AK403" s="237"/>
      <c r="AL403" s="258"/>
      <c r="AM403" s="258"/>
      <c r="AN403" s="229"/>
      <c r="AO403" s="229"/>
      <c r="AP403" s="229"/>
      <c r="AQ403" s="259"/>
      <c r="AR403" s="259"/>
      <c r="AS403" s="229"/>
      <c r="AT403" s="229"/>
      <c r="AU403" s="229"/>
      <c r="AV403" s="229"/>
      <c r="AW403" s="264"/>
      <c r="AX403" s="264"/>
      <c r="AY403" s="264"/>
      <c r="AZ403" s="264"/>
      <c r="BA403" s="219"/>
      <c r="BB403" s="219"/>
      <c r="BC403" s="229"/>
      <c r="BD403" s="229"/>
      <c r="BE403" s="217"/>
      <c r="BF403" s="229"/>
      <c r="BG403" s="258"/>
      <c r="BH403" s="258"/>
      <c r="BI403" s="229"/>
      <c r="BJ403" s="229"/>
      <c r="BK403" s="229"/>
      <c r="BL403" s="229"/>
      <c r="BM403" s="258"/>
      <c r="BN403" s="258"/>
      <c r="BO403" s="258"/>
      <c r="BP403" s="258"/>
      <c r="BQ403" s="229"/>
      <c r="BR403" s="258"/>
      <c r="BS403" s="258"/>
      <c r="BT403" s="258"/>
      <c r="BU403" s="258"/>
      <c r="BV403" s="229"/>
      <c r="BW403" s="229"/>
      <c r="BX403" s="241"/>
      <c r="BY403" s="241"/>
      <c r="BZ403" s="241"/>
      <c r="CA403" s="217"/>
      <c r="CB403" s="217"/>
      <c r="CC403" s="229"/>
      <c r="CD403" s="217"/>
      <c r="CE403" s="217"/>
      <c r="CF403" s="217"/>
      <c r="CG403" s="217"/>
      <c r="CH403" s="217"/>
      <c r="CI403" s="229"/>
      <c r="CJ403" s="217"/>
      <c r="CK403" s="217"/>
      <c r="CL403" s="217"/>
      <c r="CM403" s="217"/>
      <c r="CN403" s="217"/>
      <c r="CO403" s="229"/>
      <c r="CP403" s="217"/>
      <c r="CQ403" s="217"/>
      <c r="CR403" s="217"/>
      <c r="CS403" s="217"/>
      <c r="CT403" s="217"/>
      <c r="CU403" s="229"/>
      <c r="CV403" s="217"/>
      <c r="CW403" s="217"/>
      <c r="CX403" s="217"/>
      <c r="CY403" s="217"/>
      <c r="CZ403" s="217"/>
      <c r="DA403" s="229"/>
      <c r="DB403" s="217"/>
      <c r="DC403" s="217"/>
      <c r="DD403" s="217"/>
      <c r="DE403" s="217"/>
      <c r="DF403" s="217"/>
      <c r="DG403" s="229"/>
      <c r="DH403" s="217"/>
      <c r="DI403" s="217"/>
      <c r="DJ403" s="217"/>
      <c r="DK403" s="217"/>
      <c r="DL403" s="217"/>
      <c r="DM403" s="229"/>
      <c r="DN403" s="217"/>
      <c r="DO403" s="217"/>
      <c r="DP403" s="217"/>
      <c r="DQ403" s="217"/>
      <c r="DR403" s="217"/>
      <c r="DS403" s="229"/>
      <c r="DT403" s="229"/>
      <c r="DU403" s="229"/>
      <c r="DV403" s="217"/>
      <c r="DW403" s="217"/>
      <c r="DX403" s="230"/>
      <c r="DY403" s="231"/>
      <c r="DZ403" s="231"/>
      <c r="EA403" s="230"/>
      <c r="EB403" s="232"/>
      <c r="EC403" s="217"/>
      <c r="ED403" s="233"/>
      <c r="EE403" s="234"/>
      <c r="EF403" s="235"/>
      <c r="EG403" s="233"/>
      <c r="EH403" s="236"/>
      <c r="EI403" s="217"/>
      <c r="EJ403" s="237"/>
      <c r="EK403" s="217"/>
      <c r="EL403" s="217"/>
      <c r="EM403" s="238"/>
      <c r="EN403" s="236"/>
      <c r="EO403" s="239"/>
      <c r="EP403" s="236"/>
      <c r="EQ403" s="217"/>
      <c r="ER403" s="217"/>
      <c r="ES403" s="236"/>
      <c r="ET403" s="236"/>
      <c r="EU403" s="236"/>
      <c r="EV403" s="239"/>
      <c r="EW403" s="236"/>
      <c r="EX403" s="217"/>
      <c r="EY403" s="240"/>
      <c r="EZ403" s="241"/>
      <c r="FA403" s="240"/>
      <c r="FB403" s="241"/>
      <c r="FC403" s="240"/>
      <c r="FD403" s="217"/>
      <c r="FE403" s="240"/>
      <c r="FF403" s="217"/>
      <c r="FG403" s="217"/>
      <c r="FH403" s="217"/>
      <c r="FI403" s="217"/>
      <c r="FJ403" s="217"/>
      <c r="FK403" s="240"/>
      <c r="FL403" s="217"/>
      <c r="FM403" s="240"/>
      <c r="FN403" s="217"/>
      <c r="FO403" s="240"/>
      <c r="FP403" s="217"/>
      <c r="FQ403" s="240"/>
      <c r="FR403" s="217"/>
      <c r="FS403" s="236"/>
      <c r="FT403" s="236"/>
      <c r="FU403" s="236"/>
      <c r="FV403" s="236"/>
      <c r="FW403" s="239"/>
      <c r="FX403" s="236"/>
      <c r="FY403" s="217"/>
      <c r="FZ403" s="240"/>
      <c r="GA403" s="217"/>
      <c r="GB403" s="242"/>
      <c r="GC403" s="217"/>
      <c r="GD403" s="240"/>
      <c r="GE403" s="240"/>
      <c r="GF403" s="240"/>
      <c r="GG403" s="240"/>
      <c r="GH403" s="240"/>
      <c r="GI403" s="217"/>
      <c r="GJ403" s="217"/>
      <c r="GK403" s="239"/>
      <c r="GL403" s="243"/>
    </row>
    <row r="404" ht="15.75" customHeight="1">
      <c r="A404" s="229"/>
      <c r="B404" s="258"/>
      <c r="C404" s="259"/>
      <c r="D404" s="260"/>
      <c r="E404" s="229"/>
      <c r="F404" s="261"/>
      <c r="G404" s="261"/>
      <c r="H404" s="262"/>
      <c r="I404" s="259"/>
      <c r="J404" s="259"/>
      <c r="K404" s="229"/>
      <c r="L404" s="229"/>
      <c r="M404" s="229"/>
      <c r="N404" s="229"/>
      <c r="O404" s="229"/>
      <c r="P404" s="217"/>
      <c r="Q404" s="229"/>
      <c r="R404" s="218"/>
      <c r="S404" s="265"/>
      <c r="T404" s="220"/>
      <c r="U404" s="220"/>
      <c r="V404" s="221"/>
      <c r="W404" s="220"/>
      <c r="X404" s="222"/>
      <c r="Y404" s="222"/>
      <c r="Z404" s="229"/>
      <c r="AA404" s="229"/>
      <c r="AB404" s="229"/>
      <c r="AC404" s="229"/>
      <c r="AD404" s="229"/>
      <c r="AE404" s="229"/>
      <c r="AF404" s="229"/>
      <c r="AG404" s="264"/>
      <c r="AH404" s="224"/>
      <c r="AI404" s="264"/>
      <c r="AJ404" s="224"/>
      <c r="AK404" s="237"/>
      <c r="AL404" s="258"/>
      <c r="AM404" s="258"/>
      <c r="AN404" s="229"/>
      <c r="AO404" s="229"/>
      <c r="AP404" s="229"/>
      <c r="AQ404" s="259"/>
      <c r="AR404" s="259"/>
      <c r="AS404" s="229"/>
      <c r="AT404" s="229"/>
      <c r="AU404" s="229"/>
      <c r="AV404" s="229"/>
      <c r="AW404" s="264"/>
      <c r="AX404" s="264"/>
      <c r="AY404" s="264"/>
      <c r="AZ404" s="264"/>
      <c r="BA404" s="219"/>
      <c r="BB404" s="219"/>
      <c r="BC404" s="229"/>
      <c r="BD404" s="229"/>
      <c r="BE404" s="217"/>
      <c r="BF404" s="229"/>
      <c r="BG404" s="258"/>
      <c r="BH404" s="258"/>
      <c r="BI404" s="229"/>
      <c r="BJ404" s="229"/>
      <c r="BK404" s="229"/>
      <c r="BL404" s="229"/>
      <c r="BM404" s="258"/>
      <c r="BN404" s="258"/>
      <c r="BO404" s="258"/>
      <c r="BP404" s="258"/>
      <c r="BQ404" s="229"/>
      <c r="BR404" s="258"/>
      <c r="BS404" s="258"/>
      <c r="BT404" s="258"/>
      <c r="BU404" s="258"/>
      <c r="BV404" s="229"/>
      <c r="BW404" s="229"/>
      <c r="BX404" s="241"/>
      <c r="BY404" s="241"/>
      <c r="BZ404" s="241"/>
      <c r="CA404" s="217"/>
      <c r="CB404" s="217"/>
      <c r="CC404" s="229"/>
      <c r="CD404" s="217"/>
      <c r="CE404" s="217"/>
      <c r="CF404" s="217"/>
      <c r="CG404" s="217"/>
      <c r="CH404" s="217"/>
      <c r="CI404" s="229"/>
      <c r="CJ404" s="217"/>
      <c r="CK404" s="217"/>
      <c r="CL404" s="217"/>
      <c r="CM404" s="217"/>
      <c r="CN404" s="217"/>
      <c r="CO404" s="229"/>
      <c r="CP404" s="217"/>
      <c r="CQ404" s="217"/>
      <c r="CR404" s="217"/>
      <c r="CS404" s="217"/>
      <c r="CT404" s="217"/>
      <c r="CU404" s="229"/>
      <c r="CV404" s="217"/>
      <c r="CW404" s="217"/>
      <c r="CX404" s="217"/>
      <c r="CY404" s="217"/>
      <c r="CZ404" s="217"/>
      <c r="DA404" s="229"/>
      <c r="DB404" s="217"/>
      <c r="DC404" s="217"/>
      <c r="DD404" s="217"/>
      <c r="DE404" s="217"/>
      <c r="DF404" s="217"/>
      <c r="DG404" s="229"/>
      <c r="DH404" s="217"/>
      <c r="DI404" s="217"/>
      <c r="DJ404" s="217"/>
      <c r="DK404" s="217"/>
      <c r="DL404" s="217"/>
      <c r="DM404" s="229"/>
      <c r="DN404" s="217"/>
      <c r="DO404" s="217"/>
      <c r="DP404" s="217"/>
      <c r="DQ404" s="217"/>
      <c r="DR404" s="217"/>
      <c r="DS404" s="229"/>
      <c r="DT404" s="229"/>
      <c r="DU404" s="229"/>
      <c r="DV404" s="217"/>
      <c r="DW404" s="217"/>
      <c r="DX404" s="230"/>
      <c r="DY404" s="231"/>
      <c r="DZ404" s="231"/>
      <c r="EA404" s="230"/>
      <c r="EB404" s="232"/>
      <c r="EC404" s="217"/>
      <c r="ED404" s="233"/>
      <c r="EE404" s="234"/>
      <c r="EF404" s="235"/>
      <c r="EG404" s="233"/>
      <c r="EH404" s="236"/>
      <c r="EI404" s="217"/>
      <c r="EJ404" s="237"/>
      <c r="EK404" s="217"/>
      <c r="EL404" s="217"/>
      <c r="EM404" s="238"/>
      <c r="EN404" s="236"/>
      <c r="EO404" s="239"/>
      <c r="EP404" s="236"/>
      <c r="EQ404" s="217"/>
      <c r="ER404" s="217"/>
      <c r="ES404" s="236"/>
      <c r="ET404" s="236"/>
      <c r="EU404" s="236"/>
      <c r="EV404" s="239"/>
      <c r="EW404" s="236"/>
      <c r="EX404" s="217"/>
      <c r="EY404" s="240"/>
      <c r="EZ404" s="241"/>
      <c r="FA404" s="240"/>
      <c r="FB404" s="241"/>
      <c r="FC404" s="240"/>
      <c r="FD404" s="217"/>
      <c r="FE404" s="240"/>
      <c r="FF404" s="217"/>
      <c r="FG404" s="217"/>
      <c r="FH404" s="217"/>
      <c r="FI404" s="217"/>
      <c r="FJ404" s="217"/>
      <c r="FK404" s="240"/>
      <c r="FL404" s="217"/>
      <c r="FM404" s="240"/>
      <c r="FN404" s="217"/>
      <c r="FO404" s="240"/>
      <c r="FP404" s="217"/>
      <c r="FQ404" s="240"/>
      <c r="FR404" s="217"/>
      <c r="FS404" s="236"/>
      <c r="FT404" s="236"/>
      <c r="FU404" s="236"/>
      <c r="FV404" s="236"/>
      <c r="FW404" s="239"/>
      <c r="FX404" s="236"/>
      <c r="FY404" s="217"/>
      <c r="FZ404" s="240"/>
      <c r="GA404" s="217"/>
      <c r="GB404" s="242"/>
      <c r="GC404" s="217"/>
      <c r="GD404" s="240"/>
      <c r="GE404" s="240"/>
      <c r="GF404" s="240"/>
      <c r="GG404" s="240"/>
      <c r="GH404" s="240"/>
      <c r="GI404" s="217"/>
      <c r="GJ404" s="217"/>
      <c r="GK404" s="239"/>
      <c r="GL404" s="243"/>
    </row>
    <row r="405" ht="15.75" customHeight="1">
      <c r="A405" s="229"/>
      <c r="B405" s="258"/>
      <c r="C405" s="259"/>
      <c r="D405" s="260"/>
      <c r="E405" s="229"/>
      <c r="F405" s="261"/>
      <c r="G405" s="261"/>
      <c r="H405" s="262"/>
      <c r="I405" s="259"/>
      <c r="J405" s="259"/>
      <c r="K405" s="229"/>
      <c r="L405" s="229"/>
      <c r="M405" s="229"/>
      <c r="N405" s="229"/>
      <c r="O405" s="229"/>
      <c r="P405" s="217"/>
      <c r="Q405" s="229"/>
      <c r="R405" s="218"/>
      <c r="S405" s="265"/>
      <c r="T405" s="220"/>
      <c r="U405" s="220"/>
      <c r="V405" s="221"/>
      <c r="W405" s="220"/>
      <c r="X405" s="222"/>
      <c r="Y405" s="222"/>
      <c r="Z405" s="229"/>
      <c r="AA405" s="229"/>
      <c r="AB405" s="229"/>
      <c r="AC405" s="229"/>
      <c r="AD405" s="229"/>
      <c r="AE405" s="229"/>
      <c r="AF405" s="229"/>
      <c r="AG405" s="264"/>
      <c r="AH405" s="224"/>
      <c r="AI405" s="264"/>
      <c r="AJ405" s="224"/>
      <c r="AK405" s="237"/>
      <c r="AL405" s="258"/>
      <c r="AM405" s="258"/>
      <c r="AN405" s="229"/>
      <c r="AO405" s="229"/>
      <c r="AP405" s="229"/>
      <c r="AQ405" s="259"/>
      <c r="AR405" s="259"/>
      <c r="AS405" s="229"/>
      <c r="AT405" s="229"/>
      <c r="AU405" s="229"/>
      <c r="AV405" s="229"/>
      <c r="AW405" s="264"/>
      <c r="AX405" s="264"/>
      <c r="AY405" s="264"/>
      <c r="AZ405" s="264"/>
      <c r="BA405" s="219"/>
      <c r="BB405" s="219"/>
      <c r="BC405" s="229"/>
      <c r="BD405" s="229"/>
      <c r="BE405" s="217"/>
      <c r="BF405" s="229"/>
      <c r="BG405" s="258"/>
      <c r="BH405" s="258"/>
      <c r="BI405" s="229"/>
      <c r="BJ405" s="229"/>
      <c r="BK405" s="229"/>
      <c r="BL405" s="229"/>
      <c r="BM405" s="258"/>
      <c r="BN405" s="258"/>
      <c r="BO405" s="258"/>
      <c r="BP405" s="258"/>
      <c r="BQ405" s="229"/>
      <c r="BR405" s="258"/>
      <c r="BS405" s="258"/>
      <c r="BT405" s="258"/>
      <c r="BU405" s="258"/>
      <c r="BV405" s="229"/>
      <c r="BW405" s="229"/>
      <c r="BX405" s="241"/>
      <c r="BY405" s="241"/>
      <c r="BZ405" s="241"/>
      <c r="CA405" s="217"/>
      <c r="CB405" s="217"/>
      <c r="CC405" s="229"/>
      <c r="CD405" s="217"/>
      <c r="CE405" s="217"/>
      <c r="CF405" s="217"/>
      <c r="CG405" s="217"/>
      <c r="CH405" s="217"/>
      <c r="CI405" s="229"/>
      <c r="CJ405" s="217"/>
      <c r="CK405" s="217"/>
      <c r="CL405" s="217"/>
      <c r="CM405" s="217"/>
      <c r="CN405" s="217"/>
      <c r="CO405" s="229"/>
      <c r="CP405" s="217"/>
      <c r="CQ405" s="217"/>
      <c r="CR405" s="217"/>
      <c r="CS405" s="217"/>
      <c r="CT405" s="217"/>
      <c r="CU405" s="229"/>
      <c r="CV405" s="217"/>
      <c r="CW405" s="217"/>
      <c r="CX405" s="217"/>
      <c r="CY405" s="217"/>
      <c r="CZ405" s="217"/>
      <c r="DA405" s="229"/>
      <c r="DB405" s="217"/>
      <c r="DC405" s="217"/>
      <c r="DD405" s="217"/>
      <c r="DE405" s="217"/>
      <c r="DF405" s="217"/>
      <c r="DG405" s="229"/>
      <c r="DH405" s="217"/>
      <c r="DI405" s="217"/>
      <c r="DJ405" s="217"/>
      <c r="DK405" s="217"/>
      <c r="DL405" s="217"/>
      <c r="DM405" s="229"/>
      <c r="DN405" s="217"/>
      <c r="DO405" s="217"/>
      <c r="DP405" s="217"/>
      <c r="DQ405" s="217"/>
      <c r="DR405" s="217"/>
      <c r="DS405" s="229"/>
      <c r="DT405" s="229"/>
      <c r="DU405" s="229"/>
      <c r="DV405" s="217"/>
      <c r="DW405" s="217"/>
      <c r="DX405" s="230"/>
      <c r="DY405" s="231"/>
      <c r="DZ405" s="231"/>
      <c r="EA405" s="230"/>
      <c r="EB405" s="232"/>
      <c r="EC405" s="217"/>
      <c r="ED405" s="233"/>
      <c r="EE405" s="234"/>
      <c r="EF405" s="235"/>
      <c r="EG405" s="233"/>
      <c r="EH405" s="236"/>
      <c r="EI405" s="217"/>
      <c r="EJ405" s="237"/>
      <c r="EK405" s="217"/>
      <c r="EL405" s="217"/>
      <c r="EM405" s="238"/>
      <c r="EN405" s="236"/>
      <c r="EO405" s="239"/>
      <c r="EP405" s="236"/>
      <c r="EQ405" s="217"/>
      <c r="ER405" s="217"/>
      <c r="ES405" s="236"/>
      <c r="ET405" s="236"/>
      <c r="EU405" s="236"/>
      <c r="EV405" s="239"/>
      <c r="EW405" s="236"/>
      <c r="EX405" s="217"/>
      <c r="EY405" s="240"/>
      <c r="EZ405" s="241"/>
      <c r="FA405" s="240"/>
      <c r="FB405" s="241"/>
      <c r="FC405" s="240"/>
      <c r="FD405" s="217"/>
      <c r="FE405" s="240"/>
      <c r="FF405" s="217"/>
      <c r="FG405" s="217"/>
      <c r="FH405" s="217"/>
      <c r="FI405" s="217"/>
      <c r="FJ405" s="217"/>
      <c r="FK405" s="240"/>
      <c r="FL405" s="217"/>
      <c r="FM405" s="240"/>
      <c r="FN405" s="217"/>
      <c r="FO405" s="240"/>
      <c r="FP405" s="217"/>
      <c r="FQ405" s="240"/>
      <c r="FR405" s="217"/>
      <c r="FS405" s="236"/>
      <c r="FT405" s="236"/>
      <c r="FU405" s="236"/>
      <c r="FV405" s="236"/>
      <c r="FW405" s="239"/>
      <c r="FX405" s="236"/>
      <c r="FY405" s="217"/>
      <c r="FZ405" s="240"/>
      <c r="GA405" s="217"/>
      <c r="GB405" s="242"/>
      <c r="GC405" s="217"/>
      <c r="GD405" s="240"/>
      <c r="GE405" s="240"/>
      <c r="GF405" s="240"/>
      <c r="GG405" s="240"/>
      <c r="GH405" s="240"/>
      <c r="GI405" s="217"/>
      <c r="GJ405" s="217"/>
      <c r="GK405" s="239"/>
      <c r="GL405" s="243"/>
    </row>
    <row r="406" ht="15.75" customHeight="1">
      <c r="A406" s="229"/>
      <c r="B406" s="258"/>
      <c r="C406" s="259"/>
      <c r="D406" s="260"/>
      <c r="E406" s="229"/>
      <c r="F406" s="261"/>
      <c r="G406" s="261"/>
      <c r="H406" s="262"/>
      <c r="I406" s="259"/>
      <c r="J406" s="259"/>
      <c r="K406" s="229"/>
      <c r="L406" s="229"/>
      <c r="M406" s="229"/>
      <c r="N406" s="229"/>
      <c r="O406" s="229"/>
      <c r="P406" s="217"/>
      <c r="Q406" s="229"/>
      <c r="R406" s="218"/>
      <c r="S406" s="265"/>
      <c r="T406" s="220"/>
      <c r="U406" s="220"/>
      <c r="V406" s="221"/>
      <c r="W406" s="220"/>
      <c r="X406" s="222"/>
      <c r="Y406" s="222"/>
      <c r="Z406" s="229"/>
      <c r="AA406" s="229"/>
      <c r="AB406" s="229"/>
      <c r="AC406" s="229"/>
      <c r="AD406" s="229"/>
      <c r="AE406" s="229"/>
      <c r="AF406" s="229"/>
      <c r="AG406" s="264"/>
      <c r="AH406" s="224"/>
      <c r="AI406" s="264"/>
      <c r="AJ406" s="224"/>
      <c r="AK406" s="237"/>
      <c r="AL406" s="258"/>
      <c r="AM406" s="258"/>
      <c r="AN406" s="229"/>
      <c r="AO406" s="229"/>
      <c r="AP406" s="229"/>
      <c r="AQ406" s="259"/>
      <c r="AR406" s="259"/>
      <c r="AS406" s="229"/>
      <c r="AT406" s="229"/>
      <c r="AU406" s="229"/>
      <c r="AV406" s="229"/>
      <c r="AW406" s="264"/>
      <c r="AX406" s="264"/>
      <c r="AY406" s="264"/>
      <c r="AZ406" s="264"/>
      <c r="BA406" s="219"/>
      <c r="BB406" s="219"/>
      <c r="BC406" s="229"/>
      <c r="BD406" s="229"/>
      <c r="BE406" s="217"/>
      <c r="BF406" s="229"/>
      <c r="BG406" s="258"/>
      <c r="BH406" s="258"/>
      <c r="BI406" s="229"/>
      <c r="BJ406" s="229"/>
      <c r="BK406" s="229"/>
      <c r="BL406" s="229"/>
      <c r="BM406" s="258"/>
      <c r="BN406" s="258"/>
      <c r="BO406" s="258"/>
      <c r="BP406" s="258"/>
      <c r="BQ406" s="229"/>
      <c r="BR406" s="258"/>
      <c r="BS406" s="258"/>
      <c r="BT406" s="258"/>
      <c r="BU406" s="258"/>
      <c r="BV406" s="229"/>
      <c r="BW406" s="229"/>
      <c r="BX406" s="241"/>
      <c r="BY406" s="241"/>
      <c r="BZ406" s="241"/>
      <c r="CA406" s="217"/>
      <c r="CB406" s="217"/>
      <c r="CC406" s="229"/>
      <c r="CD406" s="217"/>
      <c r="CE406" s="217"/>
      <c r="CF406" s="217"/>
      <c r="CG406" s="217"/>
      <c r="CH406" s="217"/>
      <c r="CI406" s="229"/>
      <c r="CJ406" s="217"/>
      <c r="CK406" s="217"/>
      <c r="CL406" s="217"/>
      <c r="CM406" s="217"/>
      <c r="CN406" s="217"/>
      <c r="CO406" s="229"/>
      <c r="CP406" s="217"/>
      <c r="CQ406" s="217"/>
      <c r="CR406" s="217"/>
      <c r="CS406" s="217"/>
      <c r="CT406" s="217"/>
      <c r="CU406" s="229"/>
      <c r="CV406" s="217"/>
      <c r="CW406" s="217"/>
      <c r="CX406" s="217"/>
      <c r="CY406" s="217"/>
      <c r="CZ406" s="217"/>
      <c r="DA406" s="229"/>
      <c r="DB406" s="217"/>
      <c r="DC406" s="217"/>
      <c r="DD406" s="217"/>
      <c r="DE406" s="217"/>
      <c r="DF406" s="217"/>
      <c r="DG406" s="229"/>
      <c r="DH406" s="217"/>
      <c r="DI406" s="217"/>
      <c r="DJ406" s="217"/>
      <c r="DK406" s="217"/>
      <c r="DL406" s="217"/>
      <c r="DM406" s="229"/>
      <c r="DN406" s="217"/>
      <c r="DO406" s="217"/>
      <c r="DP406" s="217"/>
      <c r="DQ406" s="217"/>
      <c r="DR406" s="217"/>
      <c r="DS406" s="229"/>
      <c r="DT406" s="229"/>
      <c r="DU406" s="229"/>
      <c r="DV406" s="217"/>
      <c r="DW406" s="217"/>
      <c r="DX406" s="230"/>
      <c r="DY406" s="231"/>
      <c r="DZ406" s="231"/>
      <c r="EA406" s="230"/>
      <c r="EB406" s="232"/>
      <c r="EC406" s="217"/>
      <c r="ED406" s="233"/>
      <c r="EE406" s="234"/>
      <c r="EF406" s="235"/>
      <c r="EG406" s="233"/>
      <c r="EH406" s="236"/>
      <c r="EI406" s="217"/>
      <c r="EJ406" s="237"/>
      <c r="EK406" s="217"/>
      <c r="EL406" s="217"/>
      <c r="EM406" s="238"/>
      <c r="EN406" s="236"/>
      <c r="EO406" s="239"/>
      <c r="EP406" s="236"/>
      <c r="EQ406" s="217"/>
      <c r="ER406" s="217"/>
      <c r="ES406" s="236"/>
      <c r="ET406" s="236"/>
      <c r="EU406" s="236"/>
      <c r="EV406" s="239"/>
      <c r="EW406" s="236"/>
      <c r="EX406" s="217"/>
      <c r="EY406" s="240"/>
      <c r="EZ406" s="241"/>
      <c r="FA406" s="240"/>
      <c r="FB406" s="241"/>
      <c r="FC406" s="240"/>
      <c r="FD406" s="217"/>
      <c r="FE406" s="240"/>
      <c r="FF406" s="217"/>
      <c r="FG406" s="217"/>
      <c r="FH406" s="217"/>
      <c r="FI406" s="217"/>
      <c r="FJ406" s="217"/>
      <c r="FK406" s="240"/>
      <c r="FL406" s="217"/>
      <c r="FM406" s="240"/>
      <c r="FN406" s="217"/>
      <c r="FO406" s="240"/>
      <c r="FP406" s="217"/>
      <c r="FQ406" s="240"/>
      <c r="FR406" s="217"/>
      <c r="FS406" s="236"/>
      <c r="FT406" s="236"/>
      <c r="FU406" s="236"/>
      <c r="FV406" s="236"/>
      <c r="FW406" s="239"/>
      <c r="FX406" s="236"/>
      <c r="FY406" s="217"/>
      <c r="FZ406" s="240"/>
      <c r="GA406" s="217"/>
      <c r="GB406" s="242"/>
      <c r="GC406" s="217"/>
      <c r="GD406" s="240"/>
      <c r="GE406" s="240"/>
      <c r="GF406" s="240"/>
      <c r="GG406" s="240"/>
      <c r="GH406" s="240"/>
      <c r="GI406" s="217"/>
      <c r="GJ406" s="217"/>
      <c r="GK406" s="239"/>
      <c r="GL406" s="243"/>
    </row>
    <row r="407" ht="15.75" customHeight="1">
      <c r="A407" s="229"/>
      <c r="B407" s="258"/>
      <c r="C407" s="259"/>
      <c r="D407" s="260"/>
      <c r="E407" s="229"/>
      <c r="F407" s="261"/>
      <c r="G407" s="261"/>
      <c r="H407" s="262"/>
      <c r="I407" s="259"/>
      <c r="J407" s="259"/>
      <c r="K407" s="229"/>
      <c r="L407" s="229"/>
      <c r="M407" s="229"/>
      <c r="N407" s="229"/>
      <c r="O407" s="229"/>
      <c r="P407" s="217"/>
      <c r="Q407" s="229"/>
      <c r="R407" s="218"/>
      <c r="S407" s="265"/>
      <c r="T407" s="220"/>
      <c r="U407" s="220"/>
      <c r="V407" s="221"/>
      <c r="W407" s="220"/>
      <c r="X407" s="222"/>
      <c r="Y407" s="222"/>
      <c r="Z407" s="229"/>
      <c r="AA407" s="229"/>
      <c r="AB407" s="229"/>
      <c r="AC407" s="229"/>
      <c r="AD407" s="229"/>
      <c r="AE407" s="229"/>
      <c r="AF407" s="229"/>
      <c r="AG407" s="264"/>
      <c r="AH407" s="224"/>
      <c r="AI407" s="264"/>
      <c r="AJ407" s="224"/>
      <c r="AK407" s="237"/>
      <c r="AL407" s="258"/>
      <c r="AM407" s="258"/>
      <c r="AN407" s="229"/>
      <c r="AO407" s="229"/>
      <c r="AP407" s="229"/>
      <c r="AQ407" s="259"/>
      <c r="AR407" s="259"/>
      <c r="AS407" s="229"/>
      <c r="AT407" s="229"/>
      <c r="AU407" s="229"/>
      <c r="AV407" s="229"/>
      <c r="AW407" s="264"/>
      <c r="AX407" s="264"/>
      <c r="AY407" s="264"/>
      <c r="AZ407" s="264"/>
      <c r="BA407" s="219"/>
      <c r="BB407" s="219"/>
      <c r="BC407" s="229"/>
      <c r="BD407" s="229"/>
      <c r="BE407" s="217"/>
      <c r="BF407" s="229"/>
      <c r="BG407" s="258"/>
      <c r="BH407" s="258"/>
      <c r="BI407" s="229"/>
      <c r="BJ407" s="229"/>
      <c r="BK407" s="229"/>
      <c r="BL407" s="229"/>
      <c r="BM407" s="258"/>
      <c r="BN407" s="258"/>
      <c r="BO407" s="258"/>
      <c r="BP407" s="258"/>
      <c r="BQ407" s="229"/>
      <c r="BR407" s="258"/>
      <c r="BS407" s="258"/>
      <c r="BT407" s="258"/>
      <c r="BU407" s="258"/>
      <c r="BV407" s="229"/>
      <c r="BW407" s="229"/>
      <c r="BX407" s="241"/>
      <c r="BY407" s="241"/>
      <c r="BZ407" s="241"/>
      <c r="CA407" s="217"/>
      <c r="CB407" s="217"/>
      <c r="CC407" s="229"/>
      <c r="CD407" s="217"/>
      <c r="CE407" s="217"/>
      <c r="CF407" s="217"/>
      <c r="CG407" s="217"/>
      <c r="CH407" s="217"/>
      <c r="CI407" s="229"/>
      <c r="CJ407" s="217"/>
      <c r="CK407" s="217"/>
      <c r="CL407" s="217"/>
      <c r="CM407" s="217"/>
      <c r="CN407" s="217"/>
      <c r="CO407" s="229"/>
      <c r="CP407" s="217"/>
      <c r="CQ407" s="217"/>
      <c r="CR407" s="217"/>
      <c r="CS407" s="217"/>
      <c r="CT407" s="217"/>
      <c r="CU407" s="229"/>
      <c r="CV407" s="217"/>
      <c r="CW407" s="217"/>
      <c r="CX407" s="217"/>
      <c r="CY407" s="217"/>
      <c r="CZ407" s="217"/>
      <c r="DA407" s="229"/>
      <c r="DB407" s="217"/>
      <c r="DC407" s="217"/>
      <c r="DD407" s="217"/>
      <c r="DE407" s="217"/>
      <c r="DF407" s="217"/>
      <c r="DG407" s="229"/>
      <c r="DH407" s="217"/>
      <c r="DI407" s="217"/>
      <c r="DJ407" s="217"/>
      <c r="DK407" s="217"/>
      <c r="DL407" s="217"/>
      <c r="DM407" s="229"/>
      <c r="DN407" s="217"/>
      <c r="DO407" s="217"/>
      <c r="DP407" s="217"/>
      <c r="DQ407" s="217"/>
      <c r="DR407" s="217"/>
      <c r="DS407" s="229"/>
      <c r="DT407" s="229"/>
      <c r="DU407" s="229"/>
      <c r="DV407" s="217"/>
      <c r="DW407" s="217"/>
      <c r="DX407" s="230"/>
      <c r="DY407" s="231"/>
      <c r="DZ407" s="231"/>
      <c r="EA407" s="230"/>
      <c r="EB407" s="232"/>
      <c r="EC407" s="217"/>
      <c r="ED407" s="233"/>
      <c r="EE407" s="234"/>
      <c r="EF407" s="235"/>
      <c r="EG407" s="233"/>
      <c r="EH407" s="236"/>
      <c r="EI407" s="217"/>
      <c r="EJ407" s="237"/>
      <c r="EK407" s="217"/>
      <c r="EL407" s="217"/>
      <c r="EM407" s="238"/>
      <c r="EN407" s="236"/>
      <c r="EO407" s="239"/>
      <c r="EP407" s="236"/>
      <c r="EQ407" s="217"/>
      <c r="ER407" s="217"/>
      <c r="ES407" s="236"/>
      <c r="ET407" s="236"/>
      <c r="EU407" s="236"/>
      <c r="EV407" s="239"/>
      <c r="EW407" s="236"/>
      <c r="EX407" s="217"/>
      <c r="EY407" s="240"/>
      <c r="EZ407" s="241"/>
      <c r="FA407" s="240"/>
      <c r="FB407" s="241"/>
      <c r="FC407" s="240"/>
      <c r="FD407" s="217"/>
      <c r="FE407" s="240"/>
      <c r="FF407" s="217"/>
      <c r="FG407" s="217"/>
      <c r="FH407" s="217"/>
      <c r="FI407" s="217"/>
      <c r="FJ407" s="217"/>
      <c r="FK407" s="240"/>
      <c r="FL407" s="217"/>
      <c r="FM407" s="240"/>
      <c r="FN407" s="217"/>
      <c r="FO407" s="240"/>
      <c r="FP407" s="217"/>
      <c r="FQ407" s="240"/>
      <c r="FR407" s="217"/>
      <c r="FS407" s="236"/>
      <c r="FT407" s="236"/>
      <c r="FU407" s="236"/>
      <c r="FV407" s="236"/>
      <c r="FW407" s="239"/>
      <c r="FX407" s="236"/>
      <c r="FY407" s="217"/>
      <c r="FZ407" s="240"/>
      <c r="GA407" s="217"/>
      <c r="GB407" s="242"/>
      <c r="GC407" s="217"/>
      <c r="GD407" s="240"/>
      <c r="GE407" s="240"/>
      <c r="GF407" s="240"/>
      <c r="GG407" s="240"/>
      <c r="GH407" s="240"/>
      <c r="GI407" s="217"/>
      <c r="GJ407" s="217"/>
      <c r="GK407" s="239"/>
      <c r="GL407" s="243"/>
    </row>
    <row r="408" ht="15.75" customHeight="1">
      <c r="A408" s="229"/>
      <c r="B408" s="258"/>
      <c r="C408" s="259"/>
      <c r="D408" s="260"/>
      <c r="E408" s="229"/>
      <c r="F408" s="261"/>
      <c r="G408" s="261"/>
      <c r="H408" s="262"/>
      <c r="I408" s="259"/>
      <c r="J408" s="259"/>
      <c r="K408" s="229"/>
      <c r="L408" s="229"/>
      <c r="M408" s="229"/>
      <c r="N408" s="229"/>
      <c r="O408" s="229"/>
      <c r="P408" s="217"/>
      <c r="Q408" s="229"/>
      <c r="R408" s="218"/>
      <c r="S408" s="265"/>
      <c r="T408" s="220"/>
      <c r="U408" s="220"/>
      <c r="V408" s="221"/>
      <c r="W408" s="220"/>
      <c r="X408" s="222"/>
      <c r="Y408" s="222"/>
      <c r="Z408" s="229"/>
      <c r="AA408" s="229"/>
      <c r="AB408" s="229"/>
      <c r="AC408" s="229"/>
      <c r="AD408" s="229"/>
      <c r="AE408" s="229"/>
      <c r="AF408" s="229"/>
      <c r="AG408" s="264"/>
      <c r="AH408" s="224"/>
      <c r="AI408" s="264"/>
      <c r="AJ408" s="224"/>
      <c r="AK408" s="237"/>
      <c r="AL408" s="258"/>
      <c r="AM408" s="258"/>
      <c r="AN408" s="229"/>
      <c r="AO408" s="229"/>
      <c r="AP408" s="229"/>
      <c r="AQ408" s="259"/>
      <c r="AR408" s="259"/>
      <c r="AS408" s="229"/>
      <c r="AT408" s="229"/>
      <c r="AU408" s="229"/>
      <c r="AV408" s="229"/>
      <c r="AW408" s="264"/>
      <c r="AX408" s="264"/>
      <c r="AY408" s="264"/>
      <c r="AZ408" s="264"/>
      <c r="BA408" s="219"/>
      <c r="BB408" s="219"/>
      <c r="BC408" s="229"/>
      <c r="BD408" s="229"/>
      <c r="BE408" s="217"/>
      <c r="BF408" s="229"/>
      <c r="BG408" s="258"/>
      <c r="BH408" s="258"/>
      <c r="BI408" s="229"/>
      <c r="BJ408" s="229"/>
      <c r="BK408" s="229"/>
      <c r="BL408" s="229"/>
      <c r="BM408" s="258"/>
      <c r="BN408" s="258"/>
      <c r="BO408" s="258"/>
      <c r="BP408" s="258"/>
      <c r="BQ408" s="229"/>
      <c r="BR408" s="258"/>
      <c r="BS408" s="258"/>
      <c r="BT408" s="258"/>
      <c r="BU408" s="258"/>
      <c r="BV408" s="229"/>
      <c r="BW408" s="229"/>
      <c r="BX408" s="241"/>
      <c r="BY408" s="241"/>
      <c r="BZ408" s="241"/>
      <c r="CA408" s="217"/>
      <c r="CB408" s="217"/>
      <c r="CC408" s="229"/>
      <c r="CD408" s="217"/>
      <c r="CE408" s="217"/>
      <c r="CF408" s="217"/>
      <c r="CG408" s="217"/>
      <c r="CH408" s="217"/>
      <c r="CI408" s="229"/>
      <c r="CJ408" s="217"/>
      <c r="CK408" s="217"/>
      <c r="CL408" s="217"/>
      <c r="CM408" s="217"/>
      <c r="CN408" s="217"/>
      <c r="CO408" s="229"/>
      <c r="CP408" s="217"/>
      <c r="CQ408" s="217"/>
      <c r="CR408" s="217"/>
      <c r="CS408" s="217"/>
      <c r="CT408" s="217"/>
      <c r="CU408" s="229"/>
      <c r="CV408" s="217"/>
      <c r="CW408" s="217"/>
      <c r="CX408" s="217"/>
      <c r="CY408" s="217"/>
      <c r="CZ408" s="217"/>
      <c r="DA408" s="229"/>
      <c r="DB408" s="217"/>
      <c r="DC408" s="217"/>
      <c r="DD408" s="217"/>
      <c r="DE408" s="217"/>
      <c r="DF408" s="217"/>
      <c r="DG408" s="229"/>
      <c r="DH408" s="217"/>
      <c r="DI408" s="217"/>
      <c r="DJ408" s="217"/>
      <c r="DK408" s="217"/>
      <c r="DL408" s="217"/>
      <c r="DM408" s="229"/>
      <c r="DN408" s="217"/>
      <c r="DO408" s="217"/>
      <c r="DP408" s="217"/>
      <c r="DQ408" s="217"/>
      <c r="DR408" s="217"/>
      <c r="DS408" s="229"/>
      <c r="DT408" s="229"/>
      <c r="DU408" s="229"/>
      <c r="DV408" s="217"/>
      <c r="DW408" s="217"/>
      <c r="DX408" s="230"/>
      <c r="DY408" s="231"/>
      <c r="DZ408" s="231"/>
      <c r="EA408" s="230"/>
      <c r="EB408" s="232"/>
      <c r="EC408" s="217"/>
      <c r="ED408" s="233"/>
      <c r="EE408" s="234"/>
      <c r="EF408" s="235"/>
      <c r="EG408" s="233"/>
      <c r="EH408" s="236"/>
      <c r="EI408" s="217"/>
      <c r="EJ408" s="237"/>
      <c r="EK408" s="217"/>
      <c r="EL408" s="217"/>
      <c r="EM408" s="238"/>
      <c r="EN408" s="236"/>
      <c r="EO408" s="239"/>
      <c r="EP408" s="236"/>
      <c r="EQ408" s="217"/>
      <c r="ER408" s="217"/>
      <c r="ES408" s="236"/>
      <c r="ET408" s="236"/>
      <c r="EU408" s="236"/>
      <c r="EV408" s="239"/>
      <c r="EW408" s="236"/>
      <c r="EX408" s="217"/>
      <c r="EY408" s="240"/>
      <c r="EZ408" s="241"/>
      <c r="FA408" s="240"/>
      <c r="FB408" s="241"/>
      <c r="FC408" s="240"/>
      <c r="FD408" s="217"/>
      <c r="FE408" s="240"/>
      <c r="FF408" s="217"/>
      <c r="FG408" s="217"/>
      <c r="FH408" s="217"/>
      <c r="FI408" s="217"/>
      <c r="FJ408" s="217"/>
      <c r="FK408" s="240"/>
      <c r="FL408" s="217"/>
      <c r="FM408" s="240"/>
      <c r="FN408" s="217"/>
      <c r="FO408" s="240"/>
      <c r="FP408" s="217"/>
      <c r="FQ408" s="240"/>
      <c r="FR408" s="217"/>
      <c r="FS408" s="236"/>
      <c r="FT408" s="236"/>
      <c r="FU408" s="236"/>
      <c r="FV408" s="236"/>
      <c r="FW408" s="239"/>
      <c r="FX408" s="236"/>
      <c r="FY408" s="217"/>
      <c r="FZ408" s="240"/>
      <c r="GA408" s="217"/>
      <c r="GB408" s="242"/>
      <c r="GC408" s="217"/>
      <c r="GD408" s="240"/>
      <c r="GE408" s="240"/>
      <c r="GF408" s="240"/>
      <c r="GG408" s="240"/>
      <c r="GH408" s="240"/>
      <c r="GI408" s="217"/>
      <c r="GJ408" s="217"/>
      <c r="GK408" s="239"/>
      <c r="GL408" s="243"/>
    </row>
    <row r="409" ht="15.75" customHeight="1">
      <c r="A409" s="229"/>
      <c r="B409" s="258"/>
      <c r="C409" s="259"/>
      <c r="D409" s="260"/>
      <c r="E409" s="229"/>
      <c r="F409" s="261"/>
      <c r="G409" s="261"/>
      <c r="H409" s="262"/>
      <c r="I409" s="259"/>
      <c r="J409" s="259"/>
      <c r="K409" s="229"/>
      <c r="L409" s="229"/>
      <c r="M409" s="229"/>
      <c r="N409" s="229"/>
      <c r="O409" s="229"/>
      <c r="P409" s="217"/>
      <c r="Q409" s="229"/>
      <c r="R409" s="218"/>
      <c r="S409" s="265"/>
      <c r="T409" s="220"/>
      <c r="U409" s="220"/>
      <c r="V409" s="221"/>
      <c r="W409" s="220"/>
      <c r="X409" s="222"/>
      <c r="Y409" s="222"/>
      <c r="Z409" s="229"/>
      <c r="AA409" s="229"/>
      <c r="AB409" s="229"/>
      <c r="AC409" s="229"/>
      <c r="AD409" s="229"/>
      <c r="AE409" s="229"/>
      <c r="AF409" s="229"/>
      <c r="AG409" s="264"/>
      <c r="AH409" s="224"/>
      <c r="AI409" s="264"/>
      <c r="AJ409" s="224"/>
      <c r="AK409" s="237"/>
      <c r="AL409" s="258"/>
      <c r="AM409" s="258"/>
      <c r="AN409" s="229"/>
      <c r="AO409" s="229"/>
      <c r="AP409" s="229"/>
      <c r="AQ409" s="259"/>
      <c r="AR409" s="259"/>
      <c r="AS409" s="229"/>
      <c r="AT409" s="229"/>
      <c r="AU409" s="229"/>
      <c r="AV409" s="229"/>
      <c r="AW409" s="264"/>
      <c r="AX409" s="264"/>
      <c r="AY409" s="264"/>
      <c r="AZ409" s="264"/>
      <c r="BA409" s="219"/>
      <c r="BB409" s="219"/>
      <c r="BC409" s="229"/>
      <c r="BD409" s="229"/>
      <c r="BE409" s="217"/>
      <c r="BF409" s="229"/>
      <c r="BG409" s="258"/>
      <c r="BH409" s="258"/>
      <c r="BI409" s="229"/>
      <c r="BJ409" s="229"/>
      <c r="BK409" s="229"/>
      <c r="BL409" s="229"/>
      <c r="BM409" s="258"/>
      <c r="BN409" s="258"/>
      <c r="BO409" s="258"/>
      <c r="BP409" s="258"/>
      <c r="BQ409" s="229"/>
      <c r="BR409" s="258"/>
      <c r="BS409" s="258"/>
      <c r="BT409" s="258"/>
      <c r="BU409" s="258"/>
      <c r="BV409" s="229"/>
      <c r="BW409" s="229"/>
      <c r="BX409" s="241"/>
      <c r="BY409" s="241"/>
      <c r="BZ409" s="241"/>
      <c r="CA409" s="217"/>
      <c r="CB409" s="217"/>
      <c r="CC409" s="229"/>
      <c r="CD409" s="217"/>
      <c r="CE409" s="217"/>
      <c r="CF409" s="217"/>
      <c r="CG409" s="217"/>
      <c r="CH409" s="217"/>
      <c r="CI409" s="229"/>
      <c r="CJ409" s="217"/>
      <c r="CK409" s="217"/>
      <c r="CL409" s="217"/>
      <c r="CM409" s="217"/>
      <c r="CN409" s="217"/>
      <c r="CO409" s="229"/>
      <c r="CP409" s="217"/>
      <c r="CQ409" s="217"/>
      <c r="CR409" s="217"/>
      <c r="CS409" s="217"/>
      <c r="CT409" s="217"/>
      <c r="CU409" s="229"/>
      <c r="CV409" s="217"/>
      <c r="CW409" s="217"/>
      <c r="CX409" s="217"/>
      <c r="CY409" s="217"/>
      <c r="CZ409" s="217"/>
      <c r="DA409" s="229"/>
      <c r="DB409" s="217"/>
      <c r="DC409" s="217"/>
      <c r="DD409" s="217"/>
      <c r="DE409" s="217"/>
      <c r="DF409" s="217"/>
      <c r="DG409" s="229"/>
      <c r="DH409" s="217"/>
      <c r="DI409" s="217"/>
      <c r="DJ409" s="217"/>
      <c r="DK409" s="217"/>
      <c r="DL409" s="217"/>
      <c r="DM409" s="229"/>
      <c r="DN409" s="217"/>
      <c r="DO409" s="217"/>
      <c r="DP409" s="217"/>
      <c r="DQ409" s="217"/>
      <c r="DR409" s="217"/>
      <c r="DS409" s="229"/>
      <c r="DT409" s="229"/>
      <c r="DU409" s="229"/>
      <c r="DV409" s="217"/>
      <c r="DW409" s="217"/>
      <c r="DX409" s="230"/>
      <c r="DY409" s="231"/>
      <c r="DZ409" s="231"/>
      <c r="EA409" s="230"/>
      <c r="EB409" s="232"/>
      <c r="EC409" s="217"/>
      <c r="ED409" s="233"/>
      <c r="EE409" s="234"/>
      <c r="EF409" s="235"/>
      <c r="EG409" s="233"/>
      <c r="EH409" s="236"/>
      <c r="EI409" s="217"/>
      <c r="EJ409" s="237"/>
      <c r="EK409" s="217"/>
      <c r="EL409" s="217"/>
      <c r="EM409" s="238"/>
      <c r="EN409" s="236"/>
      <c r="EO409" s="239"/>
      <c r="EP409" s="236"/>
      <c r="EQ409" s="217"/>
      <c r="ER409" s="217"/>
      <c r="ES409" s="236"/>
      <c r="ET409" s="236"/>
      <c r="EU409" s="236"/>
      <c r="EV409" s="239"/>
      <c r="EW409" s="236"/>
      <c r="EX409" s="217"/>
      <c r="EY409" s="240"/>
      <c r="EZ409" s="241"/>
      <c r="FA409" s="240"/>
      <c r="FB409" s="241"/>
      <c r="FC409" s="240"/>
      <c r="FD409" s="217"/>
      <c r="FE409" s="240"/>
      <c r="FF409" s="217"/>
      <c r="FG409" s="217"/>
      <c r="FH409" s="217"/>
      <c r="FI409" s="217"/>
      <c r="FJ409" s="217"/>
      <c r="FK409" s="240"/>
      <c r="FL409" s="217"/>
      <c r="FM409" s="240"/>
      <c r="FN409" s="217"/>
      <c r="FO409" s="240"/>
      <c r="FP409" s="217"/>
      <c r="FQ409" s="240"/>
      <c r="FR409" s="217"/>
      <c r="FS409" s="236"/>
      <c r="FT409" s="236"/>
      <c r="FU409" s="236"/>
      <c r="FV409" s="236"/>
      <c r="FW409" s="239"/>
      <c r="FX409" s="236"/>
      <c r="FY409" s="217"/>
      <c r="FZ409" s="240"/>
      <c r="GA409" s="217"/>
      <c r="GB409" s="242"/>
      <c r="GC409" s="217"/>
      <c r="GD409" s="240"/>
      <c r="GE409" s="240"/>
      <c r="GF409" s="240"/>
      <c r="GG409" s="240"/>
      <c r="GH409" s="240"/>
      <c r="GI409" s="217"/>
      <c r="GJ409" s="217"/>
      <c r="GK409" s="239"/>
      <c r="GL409" s="243"/>
    </row>
    <row r="410" ht="15.75" customHeight="1">
      <c r="A410" s="229"/>
      <c r="B410" s="258"/>
      <c r="C410" s="259"/>
      <c r="D410" s="260"/>
      <c r="E410" s="229"/>
      <c r="F410" s="261"/>
      <c r="G410" s="261"/>
      <c r="H410" s="262"/>
      <c r="I410" s="259"/>
      <c r="J410" s="259"/>
      <c r="K410" s="229"/>
      <c r="L410" s="229"/>
      <c r="M410" s="229"/>
      <c r="N410" s="229"/>
      <c r="O410" s="229"/>
      <c r="P410" s="217"/>
      <c r="Q410" s="229"/>
      <c r="R410" s="218"/>
      <c r="S410" s="265"/>
      <c r="T410" s="220"/>
      <c r="U410" s="220"/>
      <c r="V410" s="221"/>
      <c r="W410" s="220"/>
      <c r="X410" s="222"/>
      <c r="Y410" s="222"/>
      <c r="Z410" s="229"/>
      <c r="AA410" s="229"/>
      <c r="AB410" s="229"/>
      <c r="AC410" s="229"/>
      <c r="AD410" s="229"/>
      <c r="AE410" s="229"/>
      <c r="AF410" s="229"/>
      <c r="AG410" s="264"/>
      <c r="AH410" s="224"/>
      <c r="AI410" s="264"/>
      <c r="AJ410" s="224"/>
      <c r="AK410" s="237"/>
      <c r="AL410" s="258"/>
      <c r="AM410" s="258"/>
      <c r="AN410" s="229"/>
      <c r="AO410" s="229"/>
      <c r="AP410" s="229"/>
      <c r="AQ410" s="259"/>
      <c r="AR410" s="259"/>
      <c r="AS410" s="229"/>
      <c r="AT410" s="229"/>
      <c r="AU410" s="229"/>
      <c r="AV410" s="229"/>
      <c r="AW410" s="264"/>
      <c r="AX410" s="264"/>
      <c r="AY410" s="264"/>
      <c r="AZ410" s="264"/>
      <c r="BA410" s="219"/>
      <c r="BB410" s="219"/>
      <c r="BC410" s="229"/>
      <c r="BD410" s="229"/>
      <c r="BE410" s="217"/>
      <c r="BF410" s="229"/>
      <c r="BG410" s="258"/>
      <c r="BH410" s="258"/>
      <c r="BI410" s="229"/>
      <c r="BJ410" s="229"/>
      <c r="BK410" s="229"/>
      <c r="BL410" s="229"/>
      <c r="BM410" s="258"/>
      <c r="BN410" s="258"/>
      <c r="BO410" s="258"/>
      <c r="BP410" s="258"/>
      <c r="BQ410" s="229"/>
      <c r="BR410" s="258"/>
      <c r="BS410" s="258"/>
      <c r="BT410" s="258"/>
      <c r="BU410" s="258"/>
      <c r="BV410" s="229"/>
      <c r="BW410" s="229"/>
      <c r="BX410" s="241"/>
      <c r="BY410" s="241"/>
      <c r="BZ410" s="241"/>
      <c r="CA410" s="217"/>
      <c r="CB410" s="217"/>
      <c r="CC410" s="229"/>
      <c r="CD410" s="217"/>
      <c r="CE410" s="217"/>
      <c r="CF410" s="217"/>
      <c r="CG410" s="217"/>
      <c r="CH410" s="217"/>
      <c r="CI410" s="229"/>
      <c r="CJ410" s="217"/>
      <c r="CK410" s="217"/>
      <c r="CL410" s="217"/>
      <c r="CM410" s="217"/>
      <c r="CN410" s="217"/>
      <c r="CO410" s="229"/>
      <c r="CP410" s="217"/>
      <c r="CQ410" s="217"/>
      <c r="CR410" s="217"/>
      <c r="CS410" s="217"/>
      <c r="CT410" s="217"/>
      <c r="CU410" s="229"/>
      <c r="CV410" s="217"/>
      <c r="CW410" s="217"/>
      <c r="CX410" s="217"/>
      <c r="CY410" s="217"/>
      <c r="CZ410" s="217"/>
      <c r="DA410" s="229"/>
      <c r="DB410" s="217"/>
      <c r="DC410" s="217"/>
      <c r="DD410" s="217"/>
      <c r="DE410" s="217"/>
      <c r="DF410" s="217"/>
      <c r="DG410" s="229"/>
      <c r="DH410" s="217"/>
      <c r="DI410" s="217"/>
      <c r="DJ410" s="217"/>
      <c r="DK410" s="217"/>
      <c r="DL410" s="217"/>
      <c r="DM410" s="229"/>
      <c r="DN410" s="217"/>
      <c r="DO410" s="217"/>
      <c r="DP410" s="217"/>
      <c r="DQ410" s="217"/>
      <c r="DR410" s="217"/>
      <c r="DS410" s="229"/>
      <c r="DT410" s="229"/>
      <c r="DU410" s="229"/>
      <c r="DV410" s="217"/>
      <c r="DW410" s="217"/>
      <c r="DX410" s="230"/>
      <c r="DY410" s="231"/>
      <c r="DZ410" s="231"/>
      <c r="EA410" s="230"/>
      <c r="EB410" s="232"/>
      <c r="EC410" s="217"/>
      <c r="ED410" s="233"/>
      <c r="EE410" s="234"/>
      <c r="EF410" s="235"/>
      <c r="EG410" s="233"/>
      <c r="EH410" s="236"/>
      <c r="EI410" s="217"/>
      <c r="EJ410" s="237"/>
      <c r="EK410" s="217"/>
      <c r="EL410" s="217"/>
      <c r="EM410" s="238"/>
      <c r="EN410" s="236"/>
      <c r="EO410" s="239"/>
      <c r="EP410" s="236"/>
      <c r="EQ410" s="217"/>
      <c r="ER410" s="217"/>
      <c r="ES410" s="236"/>
      <c r="ET410" s="236"/>
      <c r="EU410" s="236"/>
      <c r="EV410" s="239"/>
      <c r="EW410" s="236"/>
      <c r="EX410" s="217"/>
      <c r="EY410" s="240"/>
      <c r="EZ410" s="241"/>
      <c r="FA410" s="240"/>
      <c r="FB410" s="241"/>
      <c r="FC410" s="240"/>
      <c r="FD410" s="217"/>
      <c r="FE410" s="240"/>
      <c r="FF410" s="217"/>
      <c r="FG410" s="217"/>
      <c r="FH410" s="217"/>
      <c r="FI410" s="217"/>
      <c r="FJ410" s="217"/>
      <c r="FK410" s="240"/>
      <c r="FL410" s="217"/>
      <c r="FM410" s="240"/>
      <c r="FN410" s="217"/>
      <c r="FO410" s="240"/>
      <c r="FP410" s="217"/>
      <c r="FQ410" s="240"/>
      <c r="FR410" s="217"/>
      <c r="FS410" s="236"/>
      <c r="FT410" s="236"/>
      <c r="FU410" s="236"/>
      <c r="FV410" s="236"/>
      <c r="FW410" s="239"/>
      <c r="FX410" s="236"/>
      <c r="FY410" s="217"/>
      <c r="FZ410" s="240"/>
      <c r="GA410" s="217"/>
      <c r="GB410" s="242"/>
      <c r="GC410" s="217"/>
      <c r="GD410" s="240"/>
      <c r="GE410" s="240"/>
      <c r="GF410" s="240"/>
      <c r="GG410" s="240"/>
      <c r="GH410" s="240"/>
      <c r="GI410" s="217"/>
      <c r="GJ410" s="217"/>
      <c r="GK410" s="239"/>
      <c r="GL410" s="243"/>
    </row>
    <row r="411" ht="15.75" customHeight="1">
      <c r="A411" s="229"/>
      <c r="B411" s="258"/>
      <c r="C411" s="259"/>
      <c r="D411" s="260"/>
      <c r="E411" s="229"/>
      <c r="F411" s="261"/>
      <c r="G411" s="261"/>
      <c r="H411" s="262"/>
      <c r="I411" s="259"/>
      <c r="J411" s="259"/>
      <c r="K411" s="229"/>
      <c r="L411" s="229"/>
      <c r="M411" s="229"/>
      <c r="N411" s="229"/>
      <c r="O411" s="229"/>
      <c r="P411" s="217"/>
      <c r="Q411" s="229"/>
      <c r="R411" s="218"/>
      <c r="S411" s="265"/>
      <c r="T411" s="220"/>
      <c r="U411" s="220"/>
      <c r="V411" s="221"/>
      <c r="W411" s="220"/>
      <c r="X411" s="222"/>
      <c r="Y411" s="222"/>
      <c r="Z411" s="229"/>
      <c r="AA411" s="229"/>
      <c r="AB411" s="229"/>
      <c r="AC411" s="229"/>
      <c r="AD411" s="229"/>
      <c r="AE411" s="229"/>
      <c r="AF411" s="229"/>
      <c r="AG411" s="264"/>
      <c r="AH411" s="224"/>
      <c r="AI411" s="264"/>
      <c r="AJ411" s="224"/>
      <c r="AK411" s="237"/>
      <c r="AL411" s="258"/>
      <c r="AM411" s="258"/>
      <c r="AN411" s="229"/>
      <c r="AO411" s="229"/>
      <c r="AP411" s="229"/>
      <c r="AQ411" s="259"/>
      <c r="AR411" s="259"/>
      <c r="AS411" s="229"/>
      <c r="AT411" s="229"/>
      <c r="AU411" s="229"/>
      <c r="AV411" s="229"/>
      <c r="AW411" s="264"/>
      <c r="AX411" s="264"/>
      <c r="AY411" s="264"/>
      <c r="AZ411" s="264"/>
      <c r="BA411" s="219"/>
      <c r="BB411" s="219"/>
      <c r="BC411" s="229"/>
      <c r="BD411" s="229"/>
      <c r="BE411" s="217"/>
      <c r="BF411" s="229"/>
      <c r="BG411" s="258"/>
      <c r="BH411" s="258"/>
      <c r="BI411" s="229"/>
      <c r="BJ411" s="229"/>
      <c r="BK411" s="229"/>
      <c r="BL411" s="229"/>
      <c r="BM411" s="258"/>
      <c r="BN411" s="258"/>
      <c r="BO411" s="258"/>
      <c r="BP411" s="258"/>
      <c r="BQ411" s="229"/>
      <c r="BR411" s="258"/>
      <c r="BS411" s="258"/>
      <c r="BT411" s="258"/>
      <c r="BU411" s="258"/>
      <c r="BV411" s="229"/>
      <c r="BW411" s="229"/>
      <c r="BX411" s="241"/>
      <c r="BY411" s="241"/>
      <c r="BZ411" s="241"/>
      <c r="CA411" s="217"/>
      <c r="CB411" s="217"/>
      <c r="CC411" s="229"/>
      <c r="CD411" s="217"/>
      <c r="CE411" s="217"/>
      <c r="CF411" s="217"/>
      <c r="CG411" s="217"/>
      <c r="CH411" s="217"/>
      <c r="CI411" s="229"/>
      <c r="CJ411" s="217"/>
      <c r="CK411" s="217"/>
      <c r="CL411" s="217"/>
      <c r="CM411" s="217"/>
      <c r="CN411" s="217"/>
      <c r="CO411" s="229"/>
      <c r="CP411" s="217"/>
      <c r="CQ411" s="217"/>
      <c r="CR411" s="217"/>
      <c r="CS411" s="217"/>
      <c r="CT411" s="217"/>
      <c r="CU411" s="229"/>
      <c r="CV411" s="217"/>
      <c r="CW411" s="217"/>
      <c r="CX411" s="217"/>
      <c r="CY411" s="217"/>
      <c r="CZ411" s="217"/>
      <c r="DA411" s="229"/>
      <c r="DB411" s="217"/>
      <c r="DC411" s="217"/>
      <c r="DD411" s="217"/>
      <c r="DE411" s="217"/>
      <c r="DF411" s="217"/>
      <c r="DG411" s="229"/>
      <c r="DH411" s="217"/>
      <c r="DI411" s="217"/>
      <c r="DJ411" s="217"/>
      <c r="DK411" s="217"/>
      <c r="DL411" s="217"/>
      <c r="DM411" s="229"/>
      <c r="DN411" s="217"/>
      <c r="DO411" s="217"/>
      <c r="DP411" s="217"/>
      <c r="DQ411" s="217"/>
      <c r="DR411" s="217"/>
      <c r="DS411" s="229"/>
      <c r="DT411" s="229"/>
      <c r="DU411" s="229"/>
      <c r="DV411" s="217"/>
      <c r="DW411" s="217"/>
      <c r="DX411" s="230"/>
      <c r="DY411" s="231"/>
      <c r="DZ411" s="231"/>
      <c r="EA411" s="230"/>
      <c r="EB411" s="232"/>
      <c r="EC411" s="217"/>
      <c r="ED411" s="233"/>
      <c r="EE411" s="234"/>
      <c r="EF411" s="235"/>
      <c r="EG411" s="233"/>
      <c r="EH411" s="236"/>
      <c r="EI411" s="217"/>
      <c r="EJ411" s="237"/>
      <c r="EK411" s="217"/>
      <c r="EL411" s="217"/>
      <c r="EM411" s="238"/>
      <c r="EN411" s="236"/>
      <c r="EO411" s="239"/>
      <c r="EP411" s="236"/>
      <c r="EQ411" s="217"/>
      <c r="ER411" s="217"/>
      <c r="ES411" s="236"/>
      <c r="ET411" s="236"/>
      <c r="EU411" s="236"/>
      <c r="EV411" s="239"/>
      <c r="EW411" s="236"/>
      <c r="EX411" s="217"/>
      <c r="EY411" s="240"/>
      <c r="EZ411" s="241"/>
      <c r="FA411" s="240"/>
      <c r="FB411" s="241"/>
      <c r="FC411" s="240"/>
      <c r="FD411" s="217"/>
      <c r="FE411" s="240"/>
      <c r="FF411" s="217"/>
      <c r="FG411" s="217"/>
      <c r="FH411" s="217"/>
      <c r="FI411" s="217"/>
      <c r="FJ411" s="217"/>
      <c r="FK411" s="240"/>
      <c r="FL411" s="217"/>
      <c r="FM411" s="240"/>
      <c r="FN411" s="217"/>
      <c r="FO411" s="240"/>
      <c r="FP411" s="217"/>
      <c r="FQ411" s="240"/>
      <c r="FR411" s="217"/>
      <c r="FS411" s="236"/>
      <c r="FT411" s="236"/>
      <c r="FU411" s="236"/>
      <c r="FV411" s="236"/>
      <c r="FW411" s="239"/>
      <c r="FX411" s="236"/>
      <c r="FY411" s="217"/>
      <c r="FZ411" s="240"/>
      <c r="GA411" s="217"/>
      <c r="GB411" s="242"/>
      <c r="GC411" s="217"/>
      <c r="GD411" s="240"/>
      <c r="GE411" s="240"/>
      <c r="GF411" s="240"/>
      <c r="GG411" s="240"/>
      <c r="GH411" s="240"/>
      <c r="GI411" s="217"/>
      <c r="GJ411" s="217"/>
      <c r="GK411" s="239"/>
      <c r="GL411" s="243"/>
    </row>
    <row r="412" ht="15.75" customHeight="1">
      <c r="A412" s="229"/>
      <c r="B412" s="258"/>
      <c r="C412" s="259"/>
      <c r="D412" s="260"/>
      <c r="E412" s="229"/>
      <c r="F412" s="261"/>
      <c r="G412" s="261"/>
      <c r="H412" s="262"/>
      <c r="I412" s="259"/>
      <c r="J412" s="259"/>
      <c r="K412" s="229"/>
      <c r="L412" s="229"/>
      <c r="M412" s="229"/>
      <c r="N412" s="229"/>
      <c r="O412" s="229"/>
      <c r="P412" s="217"/>
      <c r="Q412" s="229"/>
      <c r="R412" s="218"/>
      <c r="S412" s="265"/>
      <c r="T412" s="220"/>
      <c r="U412" s="220"/>
      <c r="V412" s="221"/>
      <c r="W412" s="220"/>
      <c r="X412" s="222"/>
      <c r="Y412" s="222"/>
      <c r="Z412" s="229"/>
      <c r="AA412" s="229"/>
      <c r="AB412" s="229"/>
      <c r="AC412" s="229"/>
      <c r="AD412" s="229"/>
      <c r="AE412" s="229"/>
      <c r="AF412" s="229"/>
      <c r="AG412" s="264"/>
      <c r="AH412" s="224"/>
      <c r="AI412" s="264"/>
      <c r="AJ412" s="224"/>
      <c r="AK412" s="237"/>
      <c r="AL412" s="258"/>
      <c r="AM412" s="258"/>
      <c r="AN412" s="229"/>
      <c r="AO412" s="229"/>
      <c r="AP412" s="229"/>
      <c r="AQ412" s="259"/>
      <c r="AR412" s="259"/>
      <c r="AS412" s="229"/>
      <c r="AT412" s="229"/>
      <c r="AU412" s="229"/>
      <c r="AV412" s="229"/>
      <c r="AW412" s="264"/>
      <c r="AX412" s="264"/>
      <c r="AY412" s="264"/>
      <c r="AZ412" s="264"/>
      <c r="BA412" s="219"/>
      <c r="BB412" s="219"/>
      <c r="BC412" s="229"/>
      <c r="BD412" s="229"/>
      <c r="BE412" s="217"/>
      <c r="BF412" s="229"/>
      <c r="BG412" s="258"/>
      <c r="BH412" s="258"/>
      <c r="BI412" s="229"/>
      <c r="BJ412" s="229"/>
      <c r="BK412" s="229"/>
      <c r="BL412" s="229"/>
      <c r="BM412" s="258"/>
      <c r="BN412" s="258"/>
      <c r="BO412" s="258"/>
      <c r="BP412" s="258"/>
      <c r="BQ412" s="229"/>
      <c r="BR412" s="258"/>
      <c r="BS412" s="258"/>
      <c r="BT412" s="258"/>
      <c r="BU412" s="258"/>
      <c r="BV412" s="229"/>
      <c r="BW412" s="229"/>
      <c r="BX412" s="241"/>
      <c r="BY412" s="241"/>
      <c r="BZ412" s="241"/>
      <c r="CA412" s="217"/>
      <c r="CB412" s="217"/>
      <c r="CC412" s="229"/>
      <c r="CD412" s="217"/>
      <c r="CE412" s="217"/>
      <c r="CF412" s="217"/>
      <c r="CG412" s="217"/>
      <c r="CH412" s="217"/>
      <c r="CI412" s="229"/>
      <c r="CJ412" s="217"/>
      <c r="CK412" s="217"/>
      <c r="CL412" s="217"/>
      <c r="CM412" s="217"/>
      <c r="CN412" s="217"/>
      <c r="CO412" s="229"/>
      <c r="CP412" s="217"/>
      <c r="CQ412" s="217"/>
      <c r="CR412" s="217"/>
      <c r="CS412" s="217"/>
      <c r="CT412" s="217"/>
      <c r="CU412" s="229"/>
      <c r="CV412" s="217"/>
      <c r="CW412" s="217"/>
      <c r="CX412" s="217"/>
      <c r="CY412" s="217"/>
      <c r="CZ412" s="217"/>
      <c r="DA412" s="229"/>
      <c r="DB412" s="217"/>
      <c r="DC412" s="217"/>
      <c r="DD412" s="217"/>
      <c r="DE412" s="217"/>
      <c r="DF412" s="217"/>
      <c r="DG412" s="229"/>
      <c r="DH412" s="217"/>
      <c r="DI412" s="217"/>
      <c r="DJ412" s="217"/>
      <c r="DK412" s="217"/>
      <c r="DL412" s="217"/>
      <c r="DM412" s="229"/>
      <c r="DN412" s="217"/>
      <c r="DO412" s="217"/>
      <c r="DP412" s="217"/>
      <c r="DQ412" s="217"/>
      <c r="DR412" s="217"/>
      <c r="DS412" s="229"/>
      <c r="DT412" s="229"/>
      <c r="DU412" s="229"/>
      <c r="DV412" s="217"/>
      <c r="DW412" s="217"/>
      <c r="DX412" s="230"/>
      <c r="DY412" s="231"/>
      <c r="DZ412" s="231"/>
      <c r="EA412" s="230"/>
      <c r="EB412" s="232"/>
      <c r="EC412" s="217"/>
      <c r="ED412" s="233"/>
      <c r="EE412" s="234"/>
      <c r="EF412" s="235"/>
      <c r="EG412" s="233"/>
      <c r="EH412" s="236"/>
      <c r="EI412" s="217"/>
      <c r="EJ412" s="237"/>
      <c r="EK412" s="217"/>
      <c r="EL412" s="217"/>
      <c r="EM412" s="238"/>
      <c r="EN412" s="236"/>
      <c r="EO412" s="239"/>
      <c r="EP412" s="236"/>
      <c r="EQ412" s="217"/>
      <c r="ER412" s="217"/>
      <c r="ES412" s="236"/>
      <c r="ET412" s="236"/>
      <c r="EU412" s="236"/>
      <c r="EV412" s="239"/>
      <c r="EW412" s="236"/>
      <c r="EX412" s="217"/>
      <c r="EY412" s="240"/>
      <c r="EZ412" s="241"/>
      <c r="FA412" s="240"/>
      <c r="FB412" s="241"/>
      <c r="FC412" s="240"/>
      <c r="FD412" s="217"/>
      <c r="FE412" s="240"/>
      <c r="FF412" s="217"/>
      <c r="FG412" s="217"/>
      <c r="FH412" s="217"/>
      <c r="FI412" s="217"/>
      <c r="FJ412" s="217"/>
      <c r="FK412" s="240"/>
      <c r="FL412" s="217"/>
      <c r="FM412" s="240"/>
      <c r="FN412" s="217"/>
      <c r="FO412" s="240"/>
      <c r="FP412" s="217"/>
      <c r="FQ412" s="240"/>
      <c r="FR412" s="217"/>
      <c r="FS412" s="236"/>
      <c r="FT412" s="236"/>
      <c r="FU412" s="236"/>
      <c r="FV412" s="236"/>
      <c r="FW412" s="239"/>
      <c r="FX412" s="236"/>
      <c r="FY412" s="217"/>
      <c r="FZ412" s="240"/>
      <c r="GA412" s="217"/>
      <c r="GB412" s="242"/>
      <c r="GC412" s="217"/>
      <c r="GD412" s="240"/>
      <c r="GE412" s="240"/>
      <c r="GF412" s="240"/>
      <c r="GG412" s="240"/>
      <c r="GH412" s="240"/>
      <c r="GI412" s="217"/>
      <c r="GJ412" s="217"/>
      <c r="GK412" s="239"/>
      <c r="GL412" s="243"/>
    </row>
    <row r="413" ht="15.75" customHeight="1">
      <c r="A413" s="229"/>
      <c r="B413" s="258"/>
      <c r="C413" s="259"/>
      <c r="D413" s="260"/>
      <c r="E413" s="229"/>
      <c r="F413" s="261"/>
      <c r="G413" s="261"/>
      <c r="H413" s="262"/>
      <c r="I413" s="259"/>
      <c r="J413" s="259"/>
      <c r="K413" s="229"/>
      <c r="L413" s="229"/>
      <c r="M413" s="229"/>
      <c r="N413" s="229"/>
      <c r="O413" s="229"/>
      <c r="P413" s="217"/>
      <c r="Q413" s="229"/>
      <c r="R413" s="218"/>
      <c r="S413" s="265"/>
      <c r="T413" s="220"/>
      <c r="U413" s="220"/>
      <c r="V413" s="221"/>
      <c r="W413" s="220"/>
      <c r="X413" s="222"/>
      <c r="Y413" s="222"/>
      <c r="Z413" s="229"/>
      <c r="AA413" s="229"/>
      <c r="AB413" s="229"/>
      <c r="AC413" s="229"/>
      <c r="AD413" s="229"/>
      <c r="AE413" s="229"/>
      <c r="AF413" s="229"/>
      <c r="AG413" s="264"/>
      <c r="AH413" s="224"/>
      <c r="AI413" s="264"/>
      <c r="AJ413" s="224"/>
      <c r="AK413" s="237"/>
      <c r="AL413" s="258"/>
      <c r="AM413" s="258"/>
      <c r="AN413" s="229"/>
      <c r="AO413" s="229"/>
      <c r="AP413" s="229"/>
      <c r="AQ413" s="259"/>
      <c r="AR413" s="259"/>
      <c r="AS413" s="229"/>
      <c r="AT413" s="229"/>
      <c r="AU413" s="229"/>
      <c r="AV413" s="229"/>
      <c r="AW413" s="264"/>
      <c r="AX413" s="264"/>
      <c r="AY413" s="264"/>
      <c r="AZ413" s="264"/>
      <c r="BA413" s="219"/>
      <c r="BB413" s="219"/>
      <c r="BC413" s="229"/>
      <c r="BD413" s="229"/>
      <c r="BE413" s="217"/>
      <c r="BF413" s="229"/>
      <c r="BG413" s="258"/>
      <c r="BH413" s="258"/>
      <c r="BI413" s="229"/>
      <c r="BJ413" s="229"/>
      <c r="BK413" s="229"/>
      <c r="BL413" s="229"/>
      <c r="BM413" s="258"/>
      <c r="BN413" s="258"/>
      <c r="BO413" s="258"/>
      <c r="BP413" s="258"/>
      <c r="BQ413" s="229"/>
      <c r="BR413" s="258"/>
      <c r="BS413" s="258"/>
      <c r="BT413" s="258"/>
      <c r="BU413" s="258"/>
      <c r="BV413" s="229"/>
      <c r="BW413" s="229"/>
      <c r="BX413" s="241"/>
      <c r="BY413" s="241"/>
      <c r="BZ413" s="241"/>
      <c r="CA413" s="217"/>
      <c r="CB413" s="217"/>
      <c r="CC413" s="229"/>
      <c r="CD413" s="217"/>
      <c r="CE413" s="217"/>
      <c r="CF413" s="217"/>
      <c r="CG413" s="217"/>
      <c r="CH413" s="217"/>
      <c r="CI413" s="229"/>
      <c r="CJ413" s="217"/>
      <c r="CK413" s="217"/>
      <c r="CL413" s="217"/>
      <c r="CM413" s="217"/>
      <c r="CN413" s="217"/>
      <c r="CO413" s="229"/>
      <c r="CP413" s="217"/>
      <c r="CQ413" s="217"/>
      <c r="CR413" s="217"/>
      <c r="CS413" s="217"/>
      <c r="CT413" s="217"/>
      <c r="CU413" s="229"/>
      <c r="CV413" s="217"/>
      <c r="CW413" s="217"/>
      <c r="CX413" s="217"/>
      <c r="CY413" s="217"/>
      <c r="CZ413" s="217"/>
      <c r="DA413" s="229"/>
      <c r="DB413" s="217"/>
      <c r="DC413" s="217"/>
      <c r="DD413" s="217"/>
      <c r="DE413" s="217"/>
      <c r="DF413" s="217"/>
      <c r="DG413" s="229"/>
      <c r="DH413" s="217"/>
      <c r="DI413" s="217"/>
      <c r="DJ413" s="217"/>
      <c r="DK413" s="217"/>
      <c r="DL413" s="217"/>
      <c r="DM413" s="229"/>
      <c r="DN413" s="217"/>
      <c r="DO413" s="217"/>
      <c r="DP413" s="217"/>
      <c r="DQ413" s="217"/>
      <c r="DR413" s="217"/>
      <c r="DS413" s="229"/>
      <c r="DT413" s="229"/>
      <c r="DU413" s="229"/>
      <c r="DV413" s="217"/>
      <c r="DW413" s="217"/>
      <c r="DX413" s="230"/>
      <c r="DY413" s="231"/>
      <c r="DZ413" s="231"/>
      <c r="EA413" s="230"/>
      <c r="EB413" s="232"/>
      <c r="EC413" s="217"/>
      <c r="ED413" s="233"/>
      <c r="EE413" s="234"/>
      <c r="EF413" s="235"/>
      <c r="EG413" s="233"/>
      <c r="EH413" s="236"/>
      <c r="EI413" s="217"/>
      <c r="EJ413" s="237"/>
      <c r="EK413" s="217"/>
      <c r="EL413" s="217"/>
      <c r="EM413" s="238"/>
      <c r="EN413" s="236"/>
      <c r="EO413" s="239"/>
      <c r="EP413" s="236"/>
      <c r="EQ413" s="217"/>
      <c r="ER413" s="217"/>
      <c r="ES413" s="236"/>
      <c r="ET413" s="236"/>
      <c r="EU413" s="236"/>
      <c r="EV413" s="239"/>
      <c r="EW413" s="236"/>
      <c r="EX413" s="217"/>
      <c r="EY413" s="240"/>
      <c r="EZ413" s="241"/>
      <c r="FA413" s="240"/>
      <c r="FB413" s="241"/>
      <c r="FC413" s="240"/>
      <c r="FD413" s="217"/>
      <c r="FE413" s="240"/>
      <c r="FF413" s="217"/>
      <c r="FG413" s="217"/>
      <c r="FH413" s="217"/>
      <c r="FI413" s="217"/>
      <c r="FJ413" s="217"/>
      <c r="FK413" s="240"/>
      <c r="FL413" s="217"/>
      <c r="FM413" s="240"/>
      <c r="FN413" s="217"/>
      <c r="FO413" s="240"/>
      <c r="FP413" s="217"/>
      <c r="FQ413" s="240"/>
      <c r="FR413" s="217"/>
      <c r="FS413" s="236"/>
      <c r="FT413" s="236"/>
      <c r="FU413" s="236"/>
      <c r="FV413" s="236"/>
      <c r="FW413" s="239"/>
      <c r="FX413" s="236"/>
      <c r="FY413" s="217"/>
      <c r="FZ413" s="240"/>
      <c r="GA413" s="217"/>
      <c r="GB413" s="242"/>
      <c r="GC413" s="217"/>
      <c r="GD413" s="240"/>
      <c r="GE413" s="240"/>
      <c r="GF413" s="240"/>
      <c r="GG413" s="240"/>
      <c r="GH413" s="240"/>
      <c r="GI413" s="217"/>
      <c r="GJ413" s="217"/>
      <c r="GK413" s="239"/>
      <c r="GL413" s="243"/>
    </row>
    <row r="414" ht="15.75" customHeight="1">
      <c r="A414" s="229"/>
      <c r="B414" s="258"/>
      <c r="C414" s="259"/>
      <c r="D414" s="260"/>
      <c r="E414" s="229"/>
      <c r="F414" s="261"/>
      <c r="G414" s="261"/>
      <c r="H414" s="262"/>
      <c r="I414" s="259"/>
      <c r="J414" s="259"/>
      <c r="K414" s="229"/>
      <c r="L414" s="229"/>
      <c r="M414" s="229"/>
      <c r="N414" s="229"/>
      <c r="O414" s="229"/>
      <c r="P414" s="217"/>
      <c r="Q414" s="229"/>
      <c r="R414" s="218"/>
      <c r="S414" s="265"/>
      <c r="T414" s="220"/>
      <c r="U414" s="220"/>
      <c r="V414" s="221"/>
      <c r="W414" s="220"/>
      <c r="X414" s="222"/>
      <c r="Y414" s="222"/>
      <c r="Z414" s="229"/>
      <c r="AA414" s="229"/>
      <c r="AB414" s="229"/>
      <c r="AC414" s="229"/>
      <c r="AD414" s="229"/>
      <c r="AE414" s="229"/>
      <c r="AF414" s="229"/>
      <c r="AG414" s="264"/>
      <c r="AH414" s="224"/>
      <c r="AI414" s="264"/>
      <c r="AJ414" s="224"/>
      <c r="AK414" s="237"/>
      <c r="AL414" s="258"/>
      <c r="AM414" s="258"/>
      <c r="AN414" s="229"/>
      <c r="AO414" s="229"/>
      <c r="AP414" s="229"/>
      <c r="AQ414" s="259"/>
      <c r="AR414" s="259"/>
      <c r="AS414" s="229"/>
      <c r="AT414" s="229"/>
      <c r="AU414" s="229"/>
      <c r="AV414" s="229"/>
      <c r="AW414" s="264"/>
      <c r="AX414" s="264"/>
      <c r="AY414" s="264"/>
      <c r="AZ414" s="264"/>
      <c r="BA414" s="219"/>
      <c r="BB414" s="219"/>
      <c r="BC414" s="229"/>
      <c r="BD414" s="229"/>
      <c r="BE414" s="217"/>
      <c r="BF414" s="229"/>
      <c r="BG414" s="258"/>
      <c r="BH414" s="258"/>
      <c r="BI414" s="229"/>
      <c r="BJ414" s="229"/>
      <c r="BK414" s="229"/>
      <c r="BL414" s="229"/>
      <c r="BM414" s="258"/>
      <c r="BN414" s="258"/>
      <c r="BO414" s="258"/>
      <c r="BP414" s="258"/>
      <c r="BQ414" s="229"/>
      <c r="BR414" s="258"/>
      <c r="BS414" s="258"/>
      <c r="BT414" s="258"/>
      <c r="BU414" s="258"/>
      <c r="BV414" s="229"/>
      <c r="BW414" s="229"/>
      <c r="BX414" s="241"/>
      <c r="BY414" s="241"/>
      <c r="BZ414" s="241"/>
      <c r="CA414" s="217"/>
      <c r="CB414" s="217"/>
      <c r="CC414" s="229"/>
      <c r="CD414" s="217"/>
      <c r="CE414" s="217"/>
      <c r="CF414" s="217"/>
      <c r="CG414" s="217"/>
      <c r="CH414" s="217"/>
      <c r="CI414" s="229"/>
      <c r="CJ414" s="217"/>
      <c r="CK414" s="217"/>
      <c r="CL414" s="217"/>
      <c r="CM414" s="217"/>
      <c r="CN414" s="217"/>
      <c r="CO414" s="229"/>
      <c r="CP414" s="217"/>
      <c r="CQ414" s="217"/>
      <c r="CR414" s="217"/>
      <c r="CS414" s="217"/>
      <c r="CT414" s="217"/>
      <c r="CU414" s="229"/>
      <c r="CV414" s="217"/>
      <c r="CW414" s="217"/>
      <c r="CX414" s="217"/>
      <c r="CY414" s="217"/>
      <c r="CZ414" s="217"/>
      <c r="DA414" s="229"/>
      <c r="DB414" s="217"/>
      <c r="DC414" s="217"/>
      <c r="DD414" s="217"/>
      <c r="DE414" s="217"/>
      <c r="DF414" s="217"/>
      <c r="DG414" s="229"/>
      <c r="DH414" s="217"/>
      <c r="DI414" s="217"/>
      <c r="DJ414" s="217"/>
      <c r="DK414" s="217"/>
      <c r="DL414" s="217"/>
      <c r="DM414" s="229"/>
      <c r="DN414" s="217"/>
      <c r="DO414" s="217"/>
      <c r="DP414" s="217"/>
      <c r="DQ414" s="217"/>
      <c r="DR414" s="217"/>
      <c r="DS414" s="229"/>
      <c r="DT414" s="229"/>
      <c r="DU414" s="229"/>
      <c r="DV414" s="217"/>
      <c r="DW414" s="217"/>
      <c r="DX414" s="230"/>
      <c r="DY414" s="231"/>
      <c r="DZ414" s="231"/>
      <c r="EA414" s="230"/>
      <c r="EB414" s="232"/>
      <c r="EC414" s="217"/>
      <c r="ED414" s="233"/>
      <c r="EE414" s="234"/>
      <c r="EF414" s="235"/>
      <c r="EG414" s="233"/>
      <c r="EH414" s="236"/>
      <c r="EI414" s="217"/>
      <c r="EJ414" s="237"/>
      <c r="EK414" s="217"/>
      <c r="EL414" s="217"/>
      <c r="EM414" s="238"/>
      <c r="EN414" s="236"/>
      <c r="EO414" s="239"/>
      <c r="EP414" s="236"/>
      <c r="EQ414" s="217"/>
      <c r="ER414" s="217"/>
      <c r="ES414" s="236"/>
      <c r="ET414" s="236"/>
      <c r="EU414" s="236"/>
      <c r="EV414" s="239"/>
      <c r="EW414" s="236"/>
      <c r="EX414" s="217"/>
      <c r="EY414" s="240"/>
      <c r="EZ414" s="241"/>
      <c r="FA414" s="240"/>
      <c r="FB414" s="241"/>
      <c r="FC414" s="240"/>
      <c r="FD414" s="217"/>
      <c r="FE414" s="240"/>
      <c r="FF414" s="217"/>
      <c r="FG414" s="217"/>
      <c r="FH414" s="217"/>
      <c r="FI414" s="217"/>
      <c r="FJ414" s="217"/>
      <c r="FK414" s="240"/>
      <c r="FL414" s="217"/>
      <c r="FM414" s="240"/>
      <c r="FN414" s="217"/>
      <c r="FO414" s="240"/>
      <c r="FP414" s="217"/>
      <c r="FQ414" s="240"/>
      <c r="FR414" s="217"/>
      <c r="FS414" s="236"/>
      <c r="FT414" s="236"/>
      <c r="FU414" s="236"/>
      <c r="FV414" s="236"/>
      <c r="FW414" s="239"/>
      <c r="FX414" s="236"/>
      <c r="FY414" s="217"/>
      <c r="FZ414" s="240"/>
      <c r="GA414" s="217"/>
      <c r="GB414" s="242"/>
      <c r="GC414" s="217"/>
      <c r="GD414" s="240"/>
      <c r="GE414" s="240"/>
      <c r="GF414" s="240"/>
      <c r="GG414" s="240"/>
      <c r="GH414" s="240"/>
      <c r="GI414" s="217"/>
      <c r="GJ414" s="217"/>
      <c r="GK414" s="239"/>
      <c r="GL414" s="243"/>
    </row>
    <row r="415" ht="15.75" customHeight="1">
      <c r="A415" s="229"/>
      <c r="B415" s="258"/>
      <c r="C415" s="259"/>
      <c r="D415" s="260"/>
      <c r="E415" s="229"/>
      <c r="F415" s="261"/>
      <c r="G415" s="261"/>
      <c r="H415" s="262"/>
      <c r="I415" s="259"/>
      <c r="J415" s="259"/>
      <c r="K415" s="229"/>
      <c r="L415" s="229"/>
      <c r="M415" s="229"/>
      <c r="N415" s="229"/>
      <c r="O415" s="229"/>
      <c r="P415" s="217"/>
      <c r="Q415" s="229"/>
      <c r="R415" s="218"/>
      <c r="S415" s="265"/>
      <c r="T415" s="220"/>
      <c r="U415" s="220"/>
      <c r="V415" s="221"/>
      <c r="W415" s="220"/>
      <c r="X415" s="222"/>
      <c r="Y415" s="222"/>
      <c r="Z415" s="229"/>
      <c r="AA415" s="229"/>
      <c r="AB415" s="229"/>
      <c r="AC415" s="229"/>
      <c r="AD415" s="229"/>
      <c r="AE415" s="229"/>
      <c r="AF415" s="229"/>
      <c r="AG415" s="264"/>
      <c r="AH415" s="224"/>
      <c r="AI415" s="264"/>
      <c r="AJ415" s="224"/>
      <c r="AK415" s="237"/>
      <c r="AL415" s="258"/>
      <c r="AM415" s="258"/>
      <c r="AN415" s="229"/>
      <c r="AO415" s="229"/>
      <c r="AP415" s="229"/>
      <c r="AQ415" s="259"/>
      <c r="AR415" s="259"/>
      <c r="AS415" s="229"/>
      <c r="AT415" s="229"/>
      <c r="AU415" s="229"/>
      <c r="AV415" s="229"/>
      <c r="AW415" s="264"/>
      <c r="AX415" s="264"/>
      <c r="AY415" s="264"/>
      <c r="AZ415" s="264"/>
      <c r="BA415" s="219"/>
      <c r="BB415" s="219"/>
      <c r="BC415" s="229"/>
      <c r="BD415" s="229"/>
      <c r="BE415" s="217"/>
      <c r="BF415" s="229"/>
      <c r="BG415" s="258"/>
      <c r="BH415" s="258"/>
      <c r="BI415" s="229"/>
      <c r="BJ415" s="229"/>
      <c r="BK415" s="229"/>
      <c r="BL415" s="229"/>
      <c r="BM415" s="258"/>
      <c r="BN415" s="258"/>
      <c r="BO415" s="258"/>
      <c r="BP415" s="258"/>
      <c r="BQ415" s="229"/>
      <c r="BR415" s="258"/>
      <c r="BS415" s="258"/>
      <c r="BT415" s="258"/>
      <c r="BU415" s="258"/>
      <c r="BV415" s="229"/>
      <c r="BW415" s="229"/>
      <c r="BX415" s="241"/>
      <c r="BY415" s="241"/>
      <c r="BZ415" s="241"/>
      <c r="CA415" s="217"/>
      <c r="CB415" s="217"/>
      <c r="CC415" s="229"/>
      <c r="CD415" s="217"/>
      <c r="CE415" s="217"/>
      <c r="CF415" s="217"/>
      <c r="CG415" s="217"/>
      <c r="CH415" s="217"/>
      <c r="CI415" s="229"/>
      <c r="CJ415" s="217"/>
      <c r="CK415" s="217"/>
      <c r="CL415" s="217"/>
      <c r="CM415" s="217"/>
      <c r="CN415" s="217"/>
      <c r="CO415" s="229"/>
      <c r="CP415" s="217"/>
      <c r="CQ415" s="217"/>
      <c r="CR415" s="217"/>
      <c r="CS415" s="217"/>
      <c r="CT415" s="217"/>
      <c r="CU415" s="229"/>
      <c r="CV415" s="217"/>
      <c r="CW415" s="217"/>
      <c r="CX415" s="217"/>
      <c r="CY415" s="217"/>
      <c r="CZ415" s="217"/>
      <c r="DA415" s="229"/>
      <c r="DB415" s="217"/>
      <c r="DC415" s="217"/>
      <c r="DD415" s="217"/>
      <c r="DE415" s="217"/>
      <c r="DF415" s="217"/>
      <c r="DG415" s="229"/>
      <c r="DH415" s="217"/>
      <c r="DI415" s="217"/>
      <c r="DJ415" s="217"/>
      <c r="DK415" s="217"/>
      <c r="DL415" s="217"/>
      <c r="DM415" s="229"/>
      <c r="DN415" s="217"/>
      <c r="DO415" s="217"/>
      <c r="DP415" s="217"/>
      <c r="DQ415" s="217"/>
      <c r="DR415" s="217"/>
      <c r="DS415" s="229"/>
      <c r="DT415" s="229"/>
      <c r="DU415" s="229"/>
      <c r="DV415" s="217"/>
      <c r="DW415" s="217"/>
      <c r="DX415" s="230"/>
      <c r="DY415" s="231"/>
      <c r="DZ415" s="231"/>
      <c r="EA415" s="230"/>
      <c r="EB415" s="232"/>
      <c r="EC415" s="217"/>
      <c r="ED415" s="233"/>
      <c r="EE415" s="234"/>
      <c r="EF415" s="235"/>
      <c r="EG415" s="233"/>
      <c r="EH415" s="236"/>
      <c r="EI415" s="217"/>
      <c r="EJ415" s="237"/>
      <c r="EK415" s="217"/>
      <c r="EL415" s="217"/>
      <c r="EM415" s="238"/>
      <c r="EN415" s="236"/>
      <c r="EO415" s="239"/>
      <c r="EP415" s="236"/>
      <c r="EQ415" s="217"/>
      <c r="ER415" s="217"/>
      <c r="ES415" s="236"/>
      <c r="ET415" s="236"/>
      <c r="EU415" s="236"/>
      <c r="EV415" s="239"/>
      <c r="EW415" s="236"/>
      <c r="EX415" s="217"/>
      <c r="EY415" s="240"/>
      <c r="EZ415" s="241"/>
      <c r="FA415" s="240"/>
      <c r="FB415" s="241"/>
      <c r="FC415" s="240"/>
      <c r="FD415" s="217"/>
      <c r="FE415" s="240"/>
      <c r="FF415" s="217"/>
      <c r="FG415" s="217"/>
      <c r="FH415" s="217"/>
      <c r="FI415" s="217"/>
      <c r="FJ415" s="217"/>
      <c r="FK415" s="240"/>
      <c r="FL415" s="217"/>
      <c r="FM415" s="240"/>
      <c r="FN415" s="217"/>
      <c r="FO415" s="240"/>
      <c r="FP415" s="217"/>
      <c r="FQ415" s="240"/>
      <c r="FR415" s="217"/>
      <c r="FS415" s="236"/>
      <c r="FT415" s="236"/>
      <c r="FU415" s="236"/>
      <c r="FV415" s="236"/>
      <c r="FW415" s="239"/>
      <c r="FX415" s="236"/>
      <c r="FY415" s="217"/>
      <c r="FZ415" s="240"/>
      <c r="GA415" s="217"/>
      <c r="GB415" s="242"/>
      <c r="GC415" s="217"/>
      <c r="GD415" s="240"/>
      <c r="GE415" s="240"/>
      <c r="GF415" s="240"/>
      <c r="GG415" s="240"/>
      <c r="GH415" s="240"/>
      <c r="GI415" s="217"/>
      <c r="GJ415" s="217"/>
      <c r="GK415" s="239"/>
      <c r="GL415" s="243"/>
    </row>
    <row r="416" ht="15.75" customHeight="1">
      <c r="A416" s="229"/>
      <c r="B416" s="258"/>
      <c r="C416" s="259"/>
      <c r="D416" s="260"/>
      <c r="E416" s="229"/>
      <c r="F416" s="261"/>
      <c r="G416" s="261"/>
      <c r="H416" s="262"/>
      <c r="I416" s="259"/>
      <c r="J416" s="259"/>
      <c r="K416" s="229"/>
      <c r="L416" s="229"/>
      <c r="M416" s="229"/>
      <c r="N416" s="229"/>
      <c r="O416" s="229"/>
      <c r="P416" s="217"/>
      <c r="Q416" s="229"/>
      <c r="R416" s="218"/>
      <c r="S416" s="265"/>
      <c r="T416" s="220"/>
      <c r="U416" s="220"/>
      <c r="V416" s="221"/>
      <c r="W416" s="220"/>
      <c r="X416" s="222"/>
      <c r="Y416" s="222"/>
      <c r="Z416" s="229"/>
      <c r="AA416" s="229"/>
      <c r="AB416" s="229"/>
      <c r="AC416" s="229"/>
      <c r="AD416" s="229"/>
      <c r="AE416" s="229"/>
      <c r="AF416" s="229"/>
      <c r="AG416" s="264"/>
      <c r="AH416" s="224"/>
      <c r="AI416" s="264"/>
      <c r="AJ416" s="224"/>
      <c r="AK416" s="237"/>
      <c r="AL416" s="258"/>
      <c r="AM416" s="258"/>
      <c r="AN416" s="229"/>
      <c r="AO416" s="229"/>
      <c r="AP416" s="229"/>
      <c r="AQ416" s="259"/>
      <c r="AR416" s="259"/>
      <c r="AS416" s="229"/>
      <c r="AT416" s="229"/>
      <c r="AU416" s="229"/>
      <c r="AV416" s="229"/>
      <c r="AW416" s="264"/>
      <c r="AX416" s="264"/>
      <c r="AY416" s="264"/>
      <c r="AZ416" s="264"/>
      <c r="BA416" s="219"/>
      <c r="BB416" s="219"/>
      <c r="BC416" s="229"/>
      <c r="BD416" s="229"/>
      <c r="BE416" s="217"/>
      <c r="BF416" s="229"/>
      <c r="BG416" s="258"/>
      <c r="BH416" s="258"/>
      <c r="BI416" s="229"/>
      <c r="BJ416" s="229"/>
      <c r="BK416" s="229"/>
      <c r="BL416" s="229"/>
      <c r="BM416" s="258"/>
      <c r="BN416" s="258"/>
      <c r="BO416" s="258"/>
      <c r="BP416" s="258"/>
      <c r="BQ416" s="229"/>
      <c r="BR416" s="258"/>
      <c r="BS416" s="258"/>
      <c r="BT416" s="258"/>
      <c r="BU416" s="258"/>
      <c r="BV416" s="229"/>
      <c r="BW416" s="229"/>
      <c r="BX416" s="241"/>
      <c r="BY416" s="241"/>
      <c r="BZ416" s="241"/>
      <c r="CA416" s="217"/>
      <c r="CB416" s="217"/>
      <c r="CC416" s="229"/>
      <c r="CD416" s="217"/>
      <c r="CE416" s="217"/>
      <c r="CF416" s="217"/>
      <c r="CG416" s="217"/>
      <c r="CH416" s="217"/>
      <c r="CI416" s="229"/>
      <c r="CJ416" s="217"/>
      <c r="CK416" s="217"/>
      <c r="CL416" s="217"/>
      <c r="CM416" s="217"/>
      <c r="CN416" s="217"/>
      <c r="CO416" s="229"/>
      <c r="CP416" s="217"/>
      <c r="CQ416" s="217"/>
      <c r="CR416" s="217"/>
      <c r="CS416" s="217"/>
      <c r="CT416" s="217"/>
      <c r="CU416" s="229"/>
      <c r="CV416" s="217"/>
      <c r="CW416" s="217"/>
      <c r="CX416" s="217"/>
      <c r="CY416" s="217"/>
      <c r="CZ416" s="217"/>
      <c r="DA416" s="229"/>
      <c r="DB416" s="217"/>
      <c r="DC416" s="217"/>
      <c r="DD416" s="217"/>
      <c r="DE416" s="217"/>
      <c r="DF416" s="217"/>
      <c r="DG416" s="229"/>
      <c r="DH416" s="217"/>
      <c r="DI416" s="217"/>
      <c r="DJ416" s="217"/>
      <c r="DK416" s="217"/>
      <c r="DL416" s="217"/>
      <c r="DM416" s="229"/>
      <c r="DN416" s="217"/>
      <c r="DO416" s="217"/>
      <c r="DP416" s="217"/>
      <c r="DQ416" s="217"/>
      <c r="DR416" s="217"/>
      <c r="DS416" s="229"/>
      <c r="DT416" s="229"/>
      <c r="DU416" s="229"/>
      <c r="DV416" s="217"/>
      <c r="DW416" s="217"/>
      <c r="DX416" s="230"/>
      <c r="DY416" s="231"/>
      <c r="DZ416" s="231"/>
      <c r="EA416" s="230"/>
      <c r="EB416" s="232"/>
      <c r="EC416" s="217"/>
      <c r="ED416" s="233"/>
      <c r="EE416" s="234"/>
      <c r="EF416" s="235"/>
      <c r="EG416" s="233"/>
      <c r="EH416" s="236"/>
      <c r="EI416" s="217"/>
      <c r="EJ416" s="237"/>
      <c r="EK416" s="217"/>
      <c r="EL416" s="217"/>
      <c r="EM416" s="238"/>
      <c r="EN416" s="236"/>
      <c r="EO416" s="239"/>
      <c r="EP416" s="236"/>
      <c r="EQ416" s="217"/>
      <c r="ER416" s="217"/>
      <c r="ES416" s="236"/>
      <c r="ET416" s="236"/>
      <c r="EU416" s="236"/>
      <c r="EV416" s="239"/>
      <c r="EW416" s="236"/>
      <c r="EX416" s="217"/>
      <c r="EY416" s="240"/>
      <c r="EZ416" s="241"/>
      <c r="FA416" s="240"/>
      <c r="FB416" s="241"/>
      <c r="FC416" s="240"/>
      <c r="FD416" s="217"/>
      <c r="FE416" s="240"/>
      <c r="FF416" s="217"/>
      <c r="FG416" s="217"/>
      <c r="FH416" s="217"/>
      <c r="FI416" s="217"/>
      <c r="FJ416" s="217"/>
      <c r="FK416" s="240"/>
      <c r="FL416" s="217"/>
      <c r="FM416" s="240"/>
      <c r="FN416" s="217"/>
      <c r="FO416" s="240"/>
      <c r="FP416" s="217"/>
      <c r="FQ416" s="240"/>
      <c r="FR416" s="217"/>
      <c r="FS416" s="236"/>
      <c r="FT416" s="236"/>
      <c r="FU416" s="236"/>
      <c r="FV416" s="236"/>
      <c r="FW416" s="239"/>
      <c r="FX416" s="236"/>
      <c r="FY416" s="217"/>
      <c r="FZ416" s="240"/>
      <c r="GA416" s="217"/>
      <c r="GB416" s="242"/>
      <c r="GC416" s="217"/>
      <c r="GD416" s="240"/>
      <c r="GE416" s="240"/>
      <c r="GF416" s="240"/>
      <c r="GG416" s="240"/>
      <c r="GH416" s="240"/>
      <c r="GI416" s="217"/>
      <c r="GJ416" s="217"/>
      <c r="GK416" s="239"/>
      <c r="GL416" s="243"/>
    </row>
    <row r="417" ht="15.75" customHeight="1">
      <c r="A417" s="229"/>
      <c r="B417" s="258"/>
      <c r="C417" s="259"/>
      <c r="D417" s="260"/>
      <c r="E417" s="229"/>
      <c r="F417" s="261"/>
      <c r="G417" s="261"/>
      <c r="H417" s="262"/>
      <c r="I417" s="259"/>
      <c r="J417" s="259"/>
      <c r="K417" s="229"/>
      <c r="L417" s="229"/>
      <c r="M417" s="229"/>
      <c r="N417" s="229"/>
      <c r="O417" s="229"/>
      <c r="P417" s="217"/>
      <c r="Q417" s="229"/>
      <c r="R417" s="218"/>
      <c r="S417" s="265"/>
      <c r="T417" s="220"/>
      <c r="U417" s="220"/>
      <c r="V417" s="221"/>
      <c r="W417" s="220"/>
      <c r="X417" s="222"/>
      <c r="Y417" s="222"/>
      <c r="Z417" s="229"/>
      <c r="AA417" s="229"/>
      <c r="AB417" s="229"/>
      <c r="AC417" s="229"/>
      <c r="AD417" s="229"/>
      <c r="AE417" s="229"/>
      <c r="AF417" s="229"/>
      <c r="AG417" s="264"/>
      <c r="AH417" s="224"/>
      <c r="AI417" s="264"/>
      <c r="AJ417" s="224"/>
      <c r="AK417" s="237"/>
      <c r="AL417" s="258"/>
      <c r="AM417" s="258"/>
      <c r="AN417" s="229"/>
      <c r="AO417" s="229"/>
      <c r="AP417" s="229"/>
      <c r="AQ417" s="259"/>
      <c r="AR417" s="259"/>
      <c r="AS417" s="229"/>
      <c r="AT417" s="229"/>
      <c r="AU417" s="229"/>
      <c r="AV417" s="229"/>
      <c r="AW417" s="264"/>
      <c r="AX417" s="264"/>
      <c r="AY417" s="264"/>
      <c r="AZ417" s="264"/>
      <c r="BA417" s="219"/>
      <c r="BB417" s="219"/>
      <c r="BC417" s="229"/>
      <c r="BD417" s="229"/>
      <c r="BE417" s="217"/>
      <c r="BF417" s="229"/>
      <c r="BG417" s="258"/>
      <c r="BH417" s="258"/>
      <c r="BI417" s="229"/>
      <c r="BJ417" s="229"/>
      <c r="BK417" s="229"/>
      <c r="BL417" s="229"/>
      <c r="BM417" s="258"/>
      <c r="BN417" s="258"/>
      <c r="BO417" s="258"/>
      <c r="BP417" s="258"/>
      <c r="BQ417" s="229"/>
      <c r="BR417" s="258"/>
      <c r="BS417" s="258"/>
      <c r="BT417" s="258"/>
      <c r="BU417" s="258"/>
      <c r="BV417" s="229"/>
      <c r="BW417" s="229"/>
      <c r="BX417" s="241"/>
      <c r="BY417" s="241"/>
      <c r="BZ417" s="241"/>
      <c r="CA417" s="217"/>
      <c r="CB417" s="217"/>
      <c r="CC417" s="229"/>
      <c r="CD417" s="217"/>
      <c r="CE417" s="217"/>
      <c r="CF417" s="217"/>
      <c r="CG417" s="217"/>
      <c r="CH417" s="217"/>
      <c r="CI417" s="229"/>
      <c r="CJ417" s="217"/>
      <c r="CK417" s="217"/>
      <c r="CL417" s="217"/>
      <c r="CM417" s="217"/>
      <c r="CN417" s="217"/>
      <c r="CO417" s="229"/>
      <c r="CP417" s="217"/>
      <c r="CQ417" s="217"/>
      <c r="CR417" s="217"/>
      <c r="CS417" s="217"/>
      <c r="CT417" s="217"/>
      <c r="CU417" s="229"/>
      <c r="CV417" s="217"/>
      <c r="CW417" s="217"/>
      <c r="CX417" s="217"/>
      <c r="CY417" s="217"/>
      <c r="CZ417" s="217"/>
      <c r="DA417" s="229"/>
      <c r="DB417" s="217"/>
      <c r="DC417" s="217"/>
      <c r="DD417" s="217"/>
      <c r="DE417" s="217"/>
      <c r="DF417" s="217"/>
      <c r="DG417" s="229"/>
      <c r="DH417" s="217"/>
      <c r="DI417" s="217"/>
      <c r="DJ417" s="217"/>
      <c r="DK417" s="217"/>
      <c r="DL417" s="217"/>
      <c r="DM417" s="229"/>
      <c r="DN417" s="217"/>
      <c r="DO417" s="217"/>
      <c r="DP417" s="217"/>
      <c r="DQ417" s="217"/>
      <c r="DR417" s="217"/>
      <c r="DS417" s="229"/>
      <c r="DT417" s="229"/>
      <c r="DU417" s="229"/>
      <c r="DV417" s="217"/>
      <c r="DW417" s="217"/>
      <c r="DX417" s="230"/>
      <c r="DY417" s="231"/>
      <c r="DZ417" s="231"/>
      <c r="EA417" s="230"/>
      <c r="EB417" s="232"/>
      <c r="EC417" s="217"/>
      <c r="ED417" s="233"/>
      <c r="EE417" s="234"/>
      <c r="EF417" s="235"/>
      <c r="EG417" s="233"/>
      <c r="EH417" s="236"/>
      <c r="EI417" s="217"/>
      <c r="EJ417" s="237"/>
      <c r="EK417" s="217"/>
      <c r="EL417" s="217"/>
      <c r="EM417" s="238"/>
      <c r="EN417" s="236"/>
      <c r="EO417" s="239"/>
      <c r="EP417" s="236"/>
      <c r="EQ417" s="217"/>
      <c r="ER417" s="217"/>
      <c r="ES417" s="236"/>
      <c r="ET417" s="236"/>
      <c r="EU417" s="236"/>
      <c r="EV417" s="239"/>
      <c r="EW417" s="236"/>
      <c r="EX417" s="217"/>
      <c r="EY417" s="240"/>
      <c r="EZ417" s="241"/>
      <c r="FA417" s="240"/>
      <c r="FB417" s="241"/>
      <c r="FC417" s="240"/>
      <c r="FD417" s="217"/>
      <c r="FE417" s="240"/>
      <c r="FF417" s="217"/>
      <c r="FG417" s="217"/>
      <c r="FH417" s="217"/>
      <c r="FI417" s="217"/>
      <c r="FJ417" s="217"/>
      <c r="FK417" s="240"/>
      <c r="FL417" s="217"/>
      <c r="FM417" s="240"/>
      <c r="FN417" s="217"/>
      <c r="FO417" s="240"/>
      <c r="FP417" s="217"/>
      <c r="FQ417" s="240"/>
      <c r="FR417" s="217"/>
      <c r="FS417" s="236"/>
      <c r="FT417" s="236"/>
      <c r="FU417" s="236"/>
      <c r="FV417" s="236"/>
      <c r="FW417" s="239"/>
      <c r="FX417" s="236"/>
      <c r="FY417" s="217"/>
      <c r="FZ417" s="240"/>
      <c r="GA417" s="217"/>
      <c r="GB417" s="242"/>
      <c r="GC417" s="217"/>
      <c r="GD417" s="240"/>
      <c r="GE417" s="240"/>
      <c r="GF417" s="240"/>
      <c r="GG417" s="240"/>
      <c r="GH417" s="240"/>
      <c r="GI417" s="217"/>
      <c r="GJ417" s="217"/>
      <c r="GK417" s="239"/>
      <c r="GL417" s="243"/>
    </row>
    <row r="418" ht="15.75" customHeight="1">
      <c r="A418" s="229"/>
      <c r="B418" s="258"/>
      <c r="C418" s="259"/>
      <c r="D418" s="260"/>
      <c r="E418" s="229"/>
      <c r="F418" s="261"/>
      <c r="G418" s="261"/>
      <c r="H418" s="262"/>
      <c r="I418" s="259"/>
      <c r="J418" s="259"/>
      <c r="K418" s="229"/>
      <c r="L418" s="229"/>
      <c r="M418" s="229"/>
      <c r="N418" s="229"/>
      <c r="O418" s="229"/>
      <c r="P418" s="217"/>
      <c r="Q418" s="229"/>
      <c r="R418" s="218"/>
      <c r="S418" s="265"/>
      <c r="T418" s="220"/>
      <c r="U418" s="220"/>
      <c r="V418" s="221"/>
      <c r="W418" s="220"/>
      <c r="X418" s="222"/>
      <c r="Y418" s="222"/>
      <c r="Z418" s="229"/>
      <c r="AA418" s="229"/>
      <c r="AB418" s="229"/>
      <c r="AC418" s="229"/>
      <c r="AD418" s="229"/>
      <c r="AE418" s="229"/>
      <c r="AF418" s="229"/>
      <c r="AG418" s="264"/>
      <c r="AH418" s="224"/>
      <c r="AI418" s="264"/>
      <c r="AJ418" s="224"/>
      <c r="AK418" s="237"/>
      <c r="AL418" s="258"/>
      <c r="AM418" s="258"/>
      <c r="AN418" s="229"/>
      <c r="AO418" s="229"/>
      <c r="AP418" s="229"/>
      <c r="AQ418" s="259"/>
      <c r="AR418" s="259"/>
      <c r="AS418" s="229"/>
      <c r="AT418" s="229"/>
      <c r="AU418" s="229"/>
      <c r="AV418" s="229"/>
      <c r="AW418" s="264"/>
      <c r="AX418" s="264"/>
      <c r="AY418" s="264"/>
      <c r="AZ418" s="264"/>
      <c r="BA418" s="219"/>
      <c r="BB418" s="219"/>
      <c r="BC418" s="229"/>
      <c r="BD418" s="229"/>
      <c r="BE418" s="217"/>
      <c r="BF418" s="229"/>
      <c r="BG418" s="258"/>
      <c r="BH418" s="258"/>
      <c r="BI418" s="229"/>
      <c r="BJ418" s="229"/>
      <c r="BK418" s="229"/>
      <c r="BL418" s="229"/>
      <c r="BM418" s="258"/>
      <c r="BN418" s="258"/>
      <c r="BO418" s="258"/>
      <c r="BP418" s="258"/>
      <c r="BQ418" s="229"/>
      <c r="BR418" s="258"/>
      <c r="BS418" s="258"/>
      <c r="BT418" s="258"/>
      <c r="BU418" s="258"/>
      <c r="BV418" s="229"/>
      <c r="BW418" s="229"/>
      <c r="BX418" s="241"/>
      <c r="BY418" s="241"/>
      <c r="BZ418" s="241"/>
      <c r="CA418" s="217"/>
      <c r="CB418" s="217"/>
      <c r="CC418" s="229"/>
      <c r="CD418" s="217"/>
      <c r="CE418" s="217"/>
      <c r="CF418" s="217"/>
      <c r="CG418" s="217"/>
      <c r="CH418" s="217"/>
      <c r="CI418" s="229"/>
      <c r="CJ418" s="217"/>
      <c r="CK418" s="217"/>
      <c r="CL418" s="217"/>
      <c r="CM418" s="217"/>
      <c r="CN418" s="217"/>
      <c r="CO418" s="229"/>
      <c r="CP418" s="217"/>
      <c r="CQ418" s="217"/>
      <c r="CR418" s="217"/>
      <c r="CS418" s="217"/>
      <c r="CT418" s="217"/>
      <c r="CU418" s="229"/>
      <c r="CV418" s="217"/>
      <c r="CW418" s="217"/>
      <c r="CX418" s="217"/>
      <c r="CY418" s="217"/>
      <c r="CZ418" s="217"/>
      <c r="DA418" s="229"/>
      <c r="DB418" s="217"/>
      <c r="DC418" s="217"/>
      <c r="DD418" s="217"/>
      <c r="DE418" s="217"/>
      <c r="DF418" s="217"/>
      <c r="DG418" s="229"/>
      <c r="DH418" s="217"/>
      <c r="DI418" s="217"/>
      <c r="DJ418" s="217"/>
      <c r="DK418" s="217"/>
      <c r="DL418" s="217"/>
      <c r="DM418" s="229"/>
      <c r="DN418" s="217"/>
      <c r="DO418" s="217"/>
      <c r="DP418" s="217"/>
      <c r="DQ418" s="217"/>
      <c r="DR418" s="217"/>
      <c r="DS418" s="229"/>
      <c r="DT418" s="229"/>
      <c r="DU418" s="229"/>
      <c r="DV418" s="217"/>
      <c r="DW418" s="217"/>
      <c r="DX418" s="230"/>
      <c r="DY418" s="231"/>
      <c r="DZ418" s="231"/>
      <c r="EA418" s="230"/>
      <c r="EB418" s="232"/>
      <c r="EC418" s="217"/>
      <c r="ED418" s="233"/>
      <c r="EE418" s="234"/>
      <c r="EF418" s="235"/>
      <c r="EG418" s="233"/>
      <c r="EH418" s="236"/>
      <c r="EI418" s="217"/>
      <c r="EJ418" s="237"/>
      <c r="EK418" s="217"/>
      <c r="EL418" s="217"/>
      <c r="EM418" s="238"/>
      <c r="EN418" s="236"/>
      <c r="EO418" s="239"/>
      <c r="EP418" s="236"/>
      <c r="EQ418" s="217"/>
      <c r="ER418" s="217"/>
      <c r="ES418" s="236"/>
      <c r="ET418" s="236"/>
      <c r="EU418" s="236"/>
      <c r="EV418" s="239"/>
      <c r="EW418" s="236"/>
      <c r="EX418" s="217"/>
      <c r="EY418" s="240"/>
      <c r="EZ418" s="241"/>
      <c r="FA418" s="240"/>
      <c r="FB418" s="241"/>
      <c r="FC418" s="240"/>
      <c r="FD418" s="217"/>
      <c r="FE418" s="240"/>
      <c r="FF418" s="217"/>
      <c r="FG418" s="217"/>
      <c r="FH418" s="217"/>
      <c r="FI418" s="217"/>
      <c r="FJ418" s="217"/>
      <c r="FK418" s="240"/>
      <c r="FL418" s="217"/>
      <c r="FM418" s="240"/>
      <c r="FN418" s="217"/>
      <c r="FO418" s="240"/>
      <c r="FP418" s="217"/>
      <c r="FQ418" s="240"/>
      <c r="FR418" s="217"/>
      <c r="FS418" s="236"/>
      <c r="FT418" s="236"/>
      <c r="FU418" s="236"/>
      <c r="FV418" s="236"/>
      <c r="FW418" s="239"/>
      <c r="FX418" s="236"/>
      <c r="FY418" s="217"/>
      <c r="FZ418" s="240"/>
      <c r="GA418" s="217"/>
      <c r="GB418" s="242"/>
      <c r="GC418" s="217"/>
      <c r="GD418" s="240"/>
      <c r="GE418" s="240"/>
      <c r="GF418" s="240"/>
      <c r="GG418" s="240"/>
      <c r="GH418" s="240"/>
      <c r="GI418" s="217"/>
      <c r="GJ418" s="217"/>
      <c r="GK418" s="239"/>
      <c r="GL418" s="243"/>
    </row>
    <row r="419" ht="15.75" customHeight="1">
      <c r="A419" s="229"/>
      <c r="B419" s="258"/>
      <c r="C419" s="259"/>
      <c r="D419" s="260"/>
      <c r="E419" s="229"/>
      <c r="F419" s="261"/>
      <c r="G419" s="261"/>
      <c r="H419" s="262"/>
      <c r="I419" s="259"/>
      <c r="J419" s="259"/>
      <c r="K419" s="229"/>
      <c r="L419" s="229"/>
      <c r="M419" s="229"/>
      <c r="N419" s="229"/>
      <c r="O419" s="229"/>
      <c r="P419" s="217"/>
      <c r="Q419" s="229"/>
      <c r="R419" s="218"/>
      <c r="S419" s="265"/>
      <c r="T419" s="220"/>
      <c r="U419" s="220"/>
      <c r="V419" s="221"/>
      <c r="W419" s="220"/>
      <c r="X419" s="222"/>
      <c r="Y419" s="222"/>
      <c r="Z419" s="229"/>
      <c r="AA419" s="229"/>
      <c r="AB419" s="229"/>
      <c r="AC419" s="229"/>
      <c r="AD419" s="229"/>
      <c r="AE419" s="229"/>
      <c r="AF419" s="229"/>
      <c r="AG419" s="264"/>
      <c r="AH419" s="224"/>
      <c r="AI419" s="264"/>
      <c r="AJ419" s="224"/>
      <c r="AK419" s="237"/>
      <c r="AL419" s="258"/>
      <c r="AM419" s="258"/>
      <c r="AN419" s="229"/>
      <c r="AO419" s="229"/>
      <c r="AP419" s="229"/>
      <c r="AQ419" s="259"/>
      <c r="AR419" s="259"/>
      <c r="AS419" s="229"/>
      <c r="AT419" s="229"/>
      <c r="AU419" s="229"/>
      <c r="AV419" s="229"/>
      <c r="AW419" s="264"/>
      <c r="AX419" s="264"/>
      <c r="AY419" s="264"/>
      <c r="AZ419" s="264"/>
      <c r="BA419" s="219"/>
      <c r="BB419" s="219"/>
      <c r="BC419" s="229"/>
      <c r="BD419" s="229"/>
      <c r="BE419" s="217"/>
      <c r="BF419" s="229"/>
      <c r="BG419" s="258"/>
      <c r="BH419" s="258"/>
      <c r="BI419" s="229"/>
      <c r="BJ419" s="229"/>
      <c r="BK419" s="229"/>
      <c r="BL419" s="229"/>
      <c r="BM419" s="258"/>
      <c r="BN419" s="258"/>
      <c r="BO419" s="258"/>
      <c r="BP419" s="258"/>
      <c r="BQ419" s="229"/>
      <c r="BR419" s="258"/>
      <c r="BS419" s="258"/>
      <c r="BT419" s="258"/>
      <c r="BU419" s="258"/>
      <c r="BV419" s="229"/>
      <c r="BW419" s="229"/>
      <c r="BX419" s="241"/>
      <c r="BY419" s="241"/>
      <c r="BZ419" s="241"/>
      <c r="CA419" s="217"/>
      <c r="CB419" s="217"/>
      <c r="CC419" s="229"/>
      <c r="CD419" s="217"/>
      <c r="CE419" s="217"/>
      <c r="CF419" s="217"/>
      <c r="CG419" s="217"/>
      <c r="CH419" s="217"/>
      <c r="CI419" s="229"/>
      <c r="CJ419" s="217"/>
      <c r="CK419" s="217"/>
      <c r="CL419" s="217"/>
      <c r="CM419" s="217"/>
      <c r="CN419" s="217"/>
      <c r="CO419" s="229"/>
      <c r="CP419" s="217"/>
      <c r="CQ419" s="217"/>
      <c r="CR419" s="217"/>
      <c r="CS419" s="217"/>
      <c r="CT419" s="217"/>
      <c r="CU419" s="229"/>
      <c r="CV419" s="217"/>
      <c r="CW419" s="217"/>
      <c r="CX419" s="217"/>
      <c r="CY419" s="217"/>
      <c r="CZ419" s="217"/>
      <c r="DA419" s="229"/>
      <c r="DB419" s="217"/>
      <c r="DC419" s="217"/>
      <c r="DD419" s="217"/>
      <c r="DE419" s="217"/>
      <c r="DF419" s="217"/>
      <c r="DG419" s="229"/>
      <c r="DH419" s="217"/>
      <c r="DI419" s="217"/>
      <c r="DJ419" s="217"/>
      <c r="DK419" s="217"/>
      <c r="DL419" s="217"/>
      <c r="DM419" s="229"/>
      <c r="DN419" s="217"/>
      <c r="DO419" s="217"/>
      <c r="DP419" s="217"/>
      <c r="DQ419" s="217"/>
      <c r="DR419" s="217"/>
      <c r="DS419" s="229"/>
      <c r="DT419" s="229"/>
      <c r="DU419" s="229"/>
      <c r="DV419" s="217"/>
      <c r="DW419" s="217"/>
      <c r="DX419" s="230"/>
      <c r="DY419" s="231"/>
      <c r="DZ419" s="231"/>
      <c r="EA419" s="230"/>
      <c r="EB419" s="232"/>
      <c r="EC419" s="217"/>
      <c r="ED419" s="233"/>
      <c r="EE419" s="234"/>
      <c r="EF419" s="235"/>
      <c r="EG419" s="233"/>
      <c r="EH419" s="236"/>
      <c r="EI419" s="217"/>
      <c r="EJ419" s="237"/>
      <c r="EK419" s="217"/>
      <c r="EL419" s="217"/>
      <c r="EM419" s="238"/>
      <c r="EN419" s="236"/>
      <c r="EO419" s="239"/>
      <c r="EP419" s="236"/>
      <c r="EQ419" s="217"/>
      <c r="ER419" s="217"/>
      <c r="ES419" s="236"/>
      <c r="ET419" s="236"/>
      <c r="EU419" s="236"/>
      <c r="EV419" s="239"/>
      <c r="EW419" s="236"/>
      <c r="EX419" s="217"/>
      <c r="EY419" s="240"/>
      <c r="EZ419" s="241"/>
      <c r="FA419" s="240"/>
      <c r="FB419" s="241"/>
      <c r="FC419" s="240"/>
      <c r="FD419" s="217"/>
      <c r="FE419" s="240"/>
      <c r="FF419" s="217"/>
      <c r="FG419" s="217"/>
      <c r="FH419" s="217"/>
      <c r="FI419" s="217"/>
      <c r="FJ419" s="217"/>
      <c r="FK419" s="240"/>
      <c r="FL419" s="217"/>
      <c r="FM419" s="240"/>
      <c r="FN419" s="217"/>
      <c r="FO419" s="240"/>
      <c r="FP419" s="217"/>
      <c r="FQ419" s="240"/>
      <c r="FR419" s="217"/>
      <c r="FS419" s="236"/>
      <c r="FT419" s="236"/>
      <c r="FU419" s="236"/>
      <c r="FV419" s="236"/>
      <c r="FW419" s="239"/>
      <c r="FX419" s="236"/>
      <c r="FY419" s="217"/>
      <c r="FZ419" s="240"/>
      <c r="GA419" s="217"/>
      <c r="GB419" s="242"/>
      <c r="GC419" s="217"/>
      <c r="GD419" s="240"/>
      <c r="GE419" s="240"/>
      <c r="GF419" s="240"/>
      <c r="GG419" s="240"/>
      <c r="GH419" s="240"/>
      <c r="GI419" s="217"/>
      <c r="GJ419" s="217"/>
      <c r="GK419" s="239"/>
      <c r="GL419" s="243"/>
    </row>
  </sheetData>
  <autoFilter ref="$GL$2:$GL$274"/>
  <customSheetViews>
    <customSheetView guid="{C0BB2DE2-9FCE-4050-8CAB-E7ABE1D95DDB}" filter="1" showAutoFilter="1">
      <autoFilter ref="$A$2:$BV$274"/>
    </customSheetView>
  </customSheetViews>
  <mergeCells count="7">
    <mergeCell ref="DX1:EB1"/>
    <mergeCell ref="ED1:EK1"/>
    <mergeCell ref="EM1:EQ1"/>
    <mergeCell ref="ES1:FH1"/>
    <mergeCell ref="FJ1:FQ1"/>
    <mergeCell ref="FS1:FZ1"/>
    <mergeCell ref="GB1:GH1"/>
  </mergeCells>
  <conditionalFormatting sqref="EM3:EM419 EN3:EN274">
    <cfRule type="cellIs" dxfId="0" priority="1" operator="greaterThanOrEqual">
      <formula>5</formula>
    </cfRule>
  </conditionalFormatting>
  <conditionalFormatting sqref="GL3:GL419">
    <cfRule type="cellIs" dxfId="0" priority="2" operator="greaterThanOrEqual">
      <formula>5</formula>
    </cfRule>
  </conditionalFormatting>
  <conditionalFormatting sqref="AH1 AI1:AI419 AJ2">
    <cfRule type="cellIs" dxfId="0" priority="3" operator="greaterThanOrEqual">
      <formula>10000000000000</formula>
    </cfRule>
  </conditionalFormatting>
  <conditionalFormatting sqref="EH2:EH274">
    <cfRule type="cellIs" dxfId="0" priority="4" operator="greaterThanOrEqual">
      <formula>5</formula>
    </cfRule>
  </conditionalFormatting>
  <conditionalFormatting sqref="EH2:EH274">
    <cfRule type="cellIs" dxfId="1" priority="5" operator="lessThanOrEqual">
      <formula>1</formula>
    </cfRule>
  </conditionalFormatting>
  <conditionalFormatting sqref="EM2:EN274">
    <cfRule type="cellIs" dxfId="1" priority="6" operator="lessThanOrEqual">
      <formula>1</formula>
    </cfRule>
  </conditionalFormatting>
  <conditionalFormatting sqref="EP2:EP274">
    <cfRule type="cellIs" dxfId="1" priority="7" operator="lessThanOrEqual">
      <formula>1</formula>
    </cfRule>
  </conditionalFormatting>
  <conditionalFormatting sqref="EP2:EP274">
    <cfRule type="cellIs" dxfId="0" priority="8" operator="greaterThanOrEqual">
      <formula>5</formula>
    </cfRule>
  </conditionalFormatting>
  <conditionalFormatting sqref="EW2:EW274">
    <cfRule type="cellIs" dxfId="1" priority="9" operator="lessThanOrEqual">
      <formula>1</formula>
    </cfRule>
  </conditionalFormatting>
  <conditionalFormatting sqref="EW2:EW274">
    <cfRule type="cellIs" dxfId="0" priority="10" operator="greaterThanOrEqual">
      <formula>5</formula>
    </cfRule>
  </conditionalFormatting>
  <conditionalFormatting sqref="GL3:GL419">
    <cfRule type="cellIs" dxfId="2" priority="11" operator="lessThanOrEqual">
      <formula>1</formula>
    </cfRule>
  </conditionalFormatting>
  <conditionalFormatting sqref="AW2:AW274">
    <cfRule type="cellIs" dxfId="1" priority="12" operator="greaterThanOrEqual">
      <formula>3000000</formula>
    </cfRule>
  </conditionalFormatting>
  <conditionalFormatting sqref="BA3:BC274">
    <cfRule type="cellIs" dxfId="3" priority="13" operator="equal">
      <formula>0</formula>
    </cfRule>
  </conditionalFormatting>
  <conditionalFormatting sqref="FX2:FX274">
    <cfRule type="cellIs" dxfId="0" priority="14" operator="greaterThanOrEqual">
      <formula>5</formula>
    </cfRule>
  </conditionalFormatting>
  <dataValidations>
    <dataValidation type="list" allowBlank="1" sqref="K3:K419">
      <formula1>Dropdowns!$A$2:$A$160</formula1>
    </dataValidation>
    <dataValidation type="list" allowBlank="1" sqref="AA3:AA419">
      <formula1>Dropdowns!$I$2:$I$160</formula1>
    </dataValidation>
    <dataValidation type="list" allowBlank="1" sqref="AH3:AH419 AJ3:AJ419">
      <formula1>Dropdowns!$V$2:$V$16</formula1>
    </dataValidation>
    <dataValidation type="list" allowBlank="1" sqref="W275:W419 Z3:Z419">
      <formula1>Dropdowns!$H$2:$H$160</formula1>
    </dataValidation>
    <dataValidation type="list" allowBlank="1" sqref="AB3:AB419">
      <formula1>Dropdowns!$J$2:$J$160</formula1>
    </dataValidation>
    <dataValidation type="list" allowBlank="1" sqref="AD3:AD419">
      <formula1>Dropdowns!$K$2:$K$160</formula1>
    </dataValidation>
    <dataValidation type="list" allowBlank="1" sqref="O3:P419">
      <formula1>Dropdowns!$G$2:$G$160</formula1>
    </dataValidation>
    <dataValidation type="list" allowBlank="1" sqref="AE3:AE419">
      <formula1>Dropdowns!$L$2:$L$160</formula1>
    </dataValidation>
    <dataValidation type="list" allowBlank="1" sqref="E3:E419">
      <formula1>Dropdowns!$S$2:$S$160</formula1>
    </dataValidation>
    <dataValidation type="list" allowBlank="1" sqref="Q3:Q419">
      <formula1>Dropdowns!$F$2:$F$160</formula1>
    </dataValidation>
    <dataValidation type="list" allowBlank="1" sqref="BE3:BE419">
      <formula1>Dropdowns!$R$2:$R$160</formula1>
    </dataValidation>
    <dataValidation type="list" allowBlank="1" sqref="N3:N419">
      <formula1>Dropdowns!$D$2:$D$160</formula1>
    </dataValidation>
    <dataValidation type="list" allowBlank="1" sqref="BD3:BD274 BC275:BD419">
      <formula1>Dropdowns!$Q$2:$Q$160</formula1>
    </dataValidation>
    <dataValidation type="list" allowBlank="1" sqref="M3:M419">
      <formula1>Dropdowns!$C$2:$C$160</formula1>
    </dataValidation>
    <dataValidation type="list" allowBlank="1" sqref="AN3:AN419">
      <formula1>Dropdowns!$N$2:$N$160</formula1>
    </dataValidation>
    <dataValidation type="list" allowBlank="1" sqref="AP3:AP419">
      <formula1>Dropdowns!$P$2:$P$160</formula1>
    </dataValidation>
    <dataValidation type="list" allowBlank="1" sqref="AQ3:AQ419">
      <formula1>Dropdowns!$T$2:$T$160</formula1>
    </dataValidation>
    <dataValidation type="list" allowBlank="1" sqref="AR3:AR419">
      <formula1>Dropdowns!$U$2:$U$160</formula1>
    </dataValidation>
    <dataValidation type="list" allowBlank="1" sqref="L3:L419">
      <formula1>Dropdowns!$B$2:$B$160</formula1>
    </dataValidation>
    <dataValidation type="list" allowBlank="1" sqref="AO3:AO419">
      <formula1>Dropdowns!$O$2:$O$160</formula1>
    </dataValidation>
  </dataValidations>
  <hyperlinks>
    <hyperlink r:id="rId2" ref="F3"/>
    <hyperlink r:id="rId3" ref="G3"/>
    <hyperlink r:id="rId4" ref="F4"/>
    <hyperlink r:id="rId5" ref="G4"/>
    <hyperlink r:id="rId6" ref="F5"/>
    <hyperlink r:id="rId7" ref="G5"/>
    <hyperlink r:id="rId8" ref="F6"/>
    <hyperlink r:id="rId9" ref="G6"/>
    <hyperlink r:id="rId10" ref="F7"/>
    <hyperlink r:id="rId11" ref="G7"/>
    <hyperlink r:id="rId12" ref="F8"/>
    <hyperlink r:id="rId13" ref="G8"/>
    <hyperlink r:id="rId14" ref="F9"/>
    <hyperlink r:id="rId15" ref="G9"/>
    <hyperlink r:id="rId16" ref="F10"/>
    <hyperlink r:id="rId17" ref="G10"/>
    <hyperlink r:id="rId18" ref="F11"/>
    <hyperlink r:id="rId19" ref="G11"/>
    <hyperlink r:id="rId20" ref="F12"/>
    <hyperlink r:id="rId21" ref="G12"/>
    <hyperlink r:id="rId22" ref="F13"/>
    <hyperlink r:id="rId23" ref="G13"/>
    <hyperlink r:id="rId24" ref="J13"/>
    <hyperlink r:id="rId25" ref="F14"/>
    <hyperlink r:id="rId26" ref="G14"/>
    <hyperlink r:id="rId27" ref="F15"/>
    <hyperlink r:id="rId28" ref="G15"/>
    <hyperlink r:id="rId29" ref="F16"/>
    <hyperlink r:id="rId30" ref="G16"/>
    <hyperlink r:id="rId31" ref="F17"/>
    <hyperlink r:id="rId32" ref="G17"/>
    <hyperlink r:id="rId33" ref="F18"/>
    <hyperlink r:id="rId34" ref="G18"/>
    <hyperlink r:id="rId35" ref="F19"/>
    <hyperlink r:id="rId36" ref="G19"/>
    <hyperlink r:id="rId37" ref="F20"/>
    <hyperlink r:id="rId38" ref="G20"/>
    <hyperlink r:id="rId39" ref="F21"/>
    <hyperlink r:id="rId40" ref="G21"/>
    <hyperlink r:id="rId41" ref="F22"/>
    <hyperlink r:id="rId42" ref="G22"/>
    <hyperlink r:id="rId43" ref="F23"/>
    <hyperlink r:id="rId44" ref="G23"/>
    <hyperlink r:id="rId45" ref="F24"/>
    <hyperlink r:id="rId46" ref="G24"/>
    <hyperlink r:id="rId47" ref="F25"/>
    <hyperlink r:id="rId48" ref="G25"/>
    <hyperlink r:id="rId49" ref="F26"/>
    <hyperlink r:id="rId50" ref="G26"/>
    <hyperlink r:id="rId51" ref="F27"/>
    <hyperlink r:id="rId52" ref="G27"/>
    <hyperlink r:id="rId53" ref="F28"/>
    <hyperlink r:id="rId54" ref="G28"/>
    <hyperlink r:id="rId55" ref="F29"/>
    <hyperlink r:id="rId56" ref="G29"/>
    <hyperlink r:id="rId57" ref="F30"/>
    <hyperlink r:id="rId58" ref="G30"/>
    <hyperlink r:id="rId59" ref="F31"/>
    <hyperlink r:id="rId60" ref="G31"/>
    <hyperlink r:id="rId61" ref="F32"/>
    <hyperlink r:id="rId62" ref="G32"/>
    <hyperlink r:id="rId63" ref="F33"/>
    <hyperlink r:id="rId64" ref="G33"/>
    <hyperlink r:id="rId65" ref="F34"/>
    <hyperlink r:id="rId66" ref="G34"/>
    <hyperlink r:id="rId67" ref="F35"/>
    <hyperlink r:id="rId68" ref="G35"/>
    <hyperlink r:id="rId69" ref="F36"/>
    <hyperlink r:id="rId70" ref="G36"/>
    <hyperlink r:id="rId71" ref="F37"/>
    <hyperlink r:id="rId72" ref="G37"/>
    <hyperlink r:id="rId73" ref="F38"/>
    <hyperlink r:id="rId74" ref="G38"/>
    <hyperlink r:id="rId75" ref="F39"/>
    <hyperlink r:id="rId76" ref="G39"/>
    <hyperlink r:id="rId77" ref="F40"/>
    <hyperlink r:id="rId78" ref="G40"/>
    <hyperlink r:id="rId79" ref="F41"/>
    <hyperlink r:id="rId80" ref="G41"/>
    <hyperlink r:id="rId81" ref="F42"/>
    <hyperlink r:id="rId82" ref="G42"/>
    <hyperlink r:id="rId83" ref="F43"/>
    <hyperlink r:id="rId84" ref="G43"/>
    <hyperlink r:id="rId85" ref="F44"/>
    <hyperlink r:id="rId86" ref="G44"/>
    <hyperlink r:id="rId87" ref="F45"/>
    <hyperlink r:id="rId88" ref="G45"/>
    <hyperlink r:id="rId89" ref="F46"/>
    <hyperlink r:id="rId90" ref="G46"/>
    <hyperlink r:id="rId91" ref="F47"/>
    <hyperlink r:id="rId92" ref="G47"/>
    <hyperlink r:id="rId93" ref="F48"/>
    <hyperlink r:id="rId94" ref="G48"/>
    <hyperlink r:id="rId95" ref="F49"/>
    <hyperlink r:id="rId96" ref="G49"/>
    <hyperlink r:id="rId97" ref="F50"/>
    <hyperlink r:id="rId98" ref="G50"/>
    <hyperlink r:id="rId99" ref="F51"/>
    <hyperlink r:id="rId100" ref="G51"/>
    <hyperlink r:id="rId101" ref="F52"/>
    <hyperlink r:id="rId102" ref="G52"/>
    <hyperlink r:id="rId103" ref="F53"/>
    <hyperlink r:id="rId104" ref="G53"/>
    <hyperlink r:id="rId105" ref="F54"/>
    <hyperlink r:id="rId106" ref="G54"/>
    <hyperlink r:id="rId107" ref="F55"/>
    <hyperlink r:id="rId108" ref="G55"/>
    <hyperlink r:id="rId109" ref="F56"/>
    <hyperlink r:id="rId110" ref="G56"/>
    <hyperlink r:id="rId111" ref="F57"/>
    <hyperlink r:id="rId112" ref="G57"/>
    <hyperlink r:id="rId113" ref="F58"/>
    <hyperlink r:id="rId114" ref="G58"/>
    <hyperlink r:id="rId115" ref="F59"/>
    <hyperlink r:id="rId116" ref="G59"/>
    <hyperlink r:id="rId117" ref="F60"/>
    <hyperlink r:id="rId118" ref="G60"/>
    <hyperlink r:id="rId119" ref="F61"/>
    <hyperlink r:id="rId120" ref="G61"/>
    <hyperlink r:id="rId121" ref="F62"/>
    <hyperlink r:id="rId122" ref="G62"/>
    <hyperlink r:id="rId123" ref="F63"/>
    <hyperlink r:id="rId124" ref="G63"/>
    <hyperlink r:id="rId125" ref="F64"/>
    <hyperlink r:id="rId126" ref="G64"/>
    <hyperlink r:id="rId127" ref="F65"/>
    <hyperlink r:id="rId128" ref="G65"/>
    <hyperlink r:id="rId129" ref="F66"/>
    <hyperlink r:id="rId130" ref="G66"/>
    <hyperlink r:id="rId131" ref="F67"/>
    <hyperlink r:id="rId132" ref="G67"/>
    <hyperlink r:id="rId133" ref="F68"/>
    <hyperlink r:id="rId134" ref="G68"/>
    <hyperlink r:id="rId135" ref="F69"/>
    <hyperlink r:id="rId136" ref="G69"/>
    <hyperlink r:id="rId137" ref="F70"/>
    <hyperlink r:id="rId138" ref="G70"/>
    <hyperlink r:id="rId139" ref="F71"/>
    <hyperlink r:id="rId140" ref="G71"/>
    <hyperlink r:id="rId141" ref="F72"/>
    <hyperlink r:id="rId142" ref="G72"/>
    <hyperlink r:id="rId143" ref="F73"/>
    <hyperlink r:id="rId144" ref="G73"/>
    <hyperlink r:id="rId145" ref="F74"/>
    <hyperlink r:id="rId146" ref="G74"/>
    <hyperlink r:id="rId147" ref="F75"/>
    <hyperlink r:id="rId148" ref="G75"/>
    <hyperlink r:id="rId149" ref="F76"/>
    <hyperlink r:id="rId150" ref="G76"/>
    <hyperlink r:id="rId151" ref="F77"/>
    <hyperlink r:id="rId152" ref="G77"/>
    <hyperlink r:id="rId153" ref="F78"/>
    <hyperlink r:id="rId154" ref="G78"/>
    <hyperlink r:id="rId155" ref="C79"/>
    <hyperlink r:id="rId156" ref="F79"/>
    <hyperlink r:id="rId157" ref="G79"/>
    <hyperlink r:id="rId158" ref="J79"/>
    <hyperlink r:id="rId159" ref="F80"/>
    <hyperlink r:id="rId160" ref="G80"/>
    <hyperlink r:id="rId161" ref="F81"/>
    <hyperlink r:id="rId162" ref="G81"/>
    <hyperlink r:id="rId163" ref="F82"/>
    <hyperlink r:id="rId164" ref="G82"/>
    <hyperlink r:id="rId165" ref="F83"/>
    <hyperlink r:id="rId166" ref="G83"/>
    <hyperlink r:id="rId167" ref="F84"/>
    <hyperlink r:id="rId168" ref="G84"/>
    <hyperlink r:id="rId169" ref="F85"/>
    <hyperlink r:id="rId170" ref="G85"/>
    <hyperlink r:id="rId171" ref="J85"/>
    <hyperlink r:id="rId172" ref="F86"/>
    <hyperlink r:id="rId173" ref="G86"/>
    <hyperlink r:id="rId174" ref="F87"/>
    <hyperlink r:id="rId175" ref="G87"/>
    <hyperlink r:id="rId176" ref="C88"/>
    <hyperlink r:id="rId177" ref="F88"/>
    <hyperlink r:id="rId178" ref="G88"/>
    <hyperlink r:id="rId179" ref="J88"/>
    <hyperlink r:id="rId180" ref="F89"/>
    <hyperlink r:id="rId181" ref="G89"/>
    <hyperlink r:id="rId182" ref="F90"/>
    <hyperlink r:id="rId183" ref="G90"/>
    <hyperlink r:id="rId184" ref="F91"/>
    <hyperlink r:id="rId185" ref="G91"/>
    <hyperlink r:id="rId186" ref="F92"/>
    <hyperlink r:id="rId187" ref="G92"/>
    <hyperlink r:id="rId188" ref="F93"/>
    <hyperlink r:id="rId189" ref="G93"/>
    <hyperlink r:id="rId190" ref="F94"/>
    <hyperlink r:id="rId191" ref="G94"/>
    <hyperlink r:id="rId192" ref="F95"/>
    <hyperlink r:id="rId193" ref="G95"/>
    <hyperlink r:id="rId194" ref="F96"/>
    <hyperlink r:id="rId195" ref="G96"/>
    <hyperlink r:id="rId196" ref="F97"/>
    <hyperlink r:id="rId197" ref="G97"/>
    <hyperlink r:id="rId198" ref="F98"/>
    <hyperlink r:id="rId199" ref="G98"/>
    <hyperlink r:id="rId200" ref="F99"/>
    <hyperlink r:id="rId201" ref="G99"/>
    <hyperlink r:id="rId202" ref="F100"/>
    <hyperlink r:id="rId203" ref="G100"/>
    <hyperlink r:id="rId204" ref="F101"/>
    <hyperlink r:id="rId205" ref="G101"/>
    <hyperlink r:id="rId206" ref="F102"/>
    <hyperlink r:id="rId207" ref="G102"/>
    <hyperlink r:id="rId208" ref="F103"/>
    <hyperlink r:id="rId209" ref="G103"/>
    <hyperlink r:id="rId210" ref="F104"/>
    <hyperlink r:id="rId211" ref="G104"/>
    <hyperlink r:id="rId212" ref="F105"/>
    <hyperlink r:id="rId213" ref="G105"/>
    <hyperlink r:id="rId214" ref="F106"/>
    <hyperlink r:id="rId215" ref="G106"/>
    <hyperlink r:id="rId216" ref="F107"/>
    <hyperlink r:id="rId217" ref="G107"/>
    <hyperlink r:id="rId218" ref="F108"/>
    <hyperlink r:id="rId219" ref="G108"/>
    <hyperlink r:id="rId220" ref="F109"/>
    <hyperlink r:id="rId221" ref="G109"/>
    <hyperlink r:id="rId222" ref="F110"/>
    <hyperlink r:id="rId223" ref="G110"/>
    <hyperlink r:id="rId224" ref="F111"/>
    <hyperlink r:id="rId225" ref="G111"/>
    <hyperlink r:id="rId226" ref="F112"/>
    <hyperlink r:id="rId227" ref="G112"/>
    <hyperlink r:id="rId228" ref="F113"/>
    <hyperlink r:id="rId229" ref="G113"/>
    <hyperlink r:id="rId230" ref="F114"/>
    <hyperlink r:id="rId231" ref="G114"/>
    <hyperlink r:id="rId232" ref="F115"/>
    <hyperlink r:id="rId233" ref="G115"/>
    <hyperlink r:id="rId234" ref="F116"/>
    <hyperlink r:id="rId235" ref="G116"/>
    <hyperlink r:id="rId236" ref="F117"/>
    <hyperlink r:id="rId237" ref="G117"/>
    <hyperlink r:id="rId238" ref="F118"/>
    <hyperlink r:id="rId239" ref="G118"/>
    <hyperlink r:id="rId240" ref="F119"/>
    <hyperlink r:id="rId241" ref="G119"/>
    <hyperlink r:id="rId242" ref="F120"/>
    <hyperlink r:id="rId243" ref="G120"/>
    <hyperlink r:id="rId244" ref="F121"/>
    <hyperlink r:id="rId245" ref="G121"/>
    <hyperlink r:id="rId246" ref="F122"/>
    <hyperlink r:id="rId247" ref="G122"/>
    <hyperlink r:id="rId248" ref="F123"/>
    <hyperlink r:id="rId249" ref="G123"/>
    <hyperlink r:id="rId250" ref="F124"/>
    <hyperlink r:id="rId251" ref="G124"/>
    <hyperlink r:id="rId252" ref="F125"/>
    <hyperlink r:id="rId253" ref="G125"/>
    <hyperlink r:id="rId254" ref="F126"/>
    <hyperlink r:id="rId255" ref="G126"/>
    <hyperlink r:id="rId256" ref="F127"/>
    <hyperlink r:id="rId257" ref="G127"/>
    <hyperlink r:id="rId258" ref="F128"/>
    <hyperlink r:id="rId259" ref="G128"/>
    <hyperlink r:id="rId260" ref="F129"/>
    <hyperlink r:id="rId261" ref="G129"/>
    <hyperlink r:id="rId262" ref="F130"/>
    <hyperlink r:id="rId263" ref="G130"/>
    <hyperlink r:id="rId264" ref="F131"/>
    <hyperlink r:id="rId265" ref="G131"/>
    <hyperlink r:id="rId266" ref="F132"/>
    <hyperlink r:id="rId267" ref="G132"/>
    <hyperlink r:id="rId268" ref="F133"/>
    <hyperlink r:id="rId269" ref="G133"/>
    <hyperlink r:id="rId270" ref="F134"/>
    <hyperlink r:id="rId271" ref="G134"/>
    <hyperlink r:id="rId272" ref="F135"/>
    <hyperlink r:id="rId273" ref="G135"/>
    <hyperlink r:id="rId274" ref="F136"/>
    <hyperlink r:id="rId275" ref="G136"/>
    <hyperlink r:id="rId276" ref="F137"/>
    <hyperlink r:id="rId277" ref="G137"/>
    <hyperlink r:id="rId278" ref="F138"/>
    <hyperlink r:id="rId279" ref="G138"/>
    <hyperlink r:id="rId280" ref="F139"/>
    <hyperlink r:id="rId281" ref="G139"/>
    <hyperlink r:id="rId282" ref="F140"/>
    <hyperlink r:id="rId283" ref="G140"/>
    <hyperlink r:id="rId284" ref="F141"/>
    <hyperlink r:id="rId285" ref="G141"/>
    <hyperlink r:id="rId286" ref="F142"/>
    <hyperlink r:id="rId287" ref="G142"/>
    <hyperlink r:id="rId288" ref="F143"/>
    <hyperlink r:id="rId289" ref="G143"/>
    <hyperlink r:id="rId290" ref="F144"/>
    <hyperlink r:id="rId291" ref="G144"/>
    <hyperlink r:id="rId292" ref="F145"/>
    <hyperlink r:id="rId293" ref="G145"/>
    <hyperlink r:id="rId294" ref="F146"/>
    <hyperlink r:id="rId295" ref="G146"/>
    <hyperlink r:id="rId296" ref="F147"/>
    <hyperlink r:id="rId297" ref="G147"/>
    <hyperlink r:id="rId298" ref="F148"/>
    <hyperlink r:id="rId299" ref="G148"/>
    <hyperlink r:id="rId300" ref="F149"/>
    <hyperlink r:id="rId301" ref="G149"/>
    <hyperlink r:id="rId302" ref="F150"/>
    <hyperlink r:id="rId303" ref="G150"/>
    <hyperlink r:id="rId304" ref="F151"/>
    <hyperlink r:id="rId305" ref="G151"/>
    <hyperlink r:id="rId306" ref="F152"/>
    <hyperlink r:id="rId307" ref="G152"/>
    <hyperlink r:id="rId308" ref="F153"/>
    <hyperlink r:id="rId309" ref="G153"/>
    <hyperlink r:id="rId310" ref="F154"/>
    <hyperlink r:id="rId311" ref="G154"/>
    <hyperlink r:id="rId312" ref="F155"/>
    <hyperlink r:id="rId313" ref="G155"/>
    <hyperlink r:id="rId314" ref="F156"/>
    <hyperlink r:id="rId315" ref="G156"/>
    <hyperlink r:id="rId316" ref="F157"/>
    <hyperlink r:id="rId317" ref="G157"/>
    <hyperlink r:id="rId318" ref="F158"/>
    <hyperlink r:id="rId319" ref="G158"/>
    <hyperlink r:id="rId320" ref="F159"/>
    <hyperlink r:id="rId321" ref="G159"/>
    <hyperlink r:id="rId322" ref="F160"/>
    <hyperlink r:id="rId323" ref="G160"/>
    <hyperlink r:id="rId324" ref="F161"/>
    <hyperlink r:id="rId325" ref="G161"/>
    <hyperlink r:id="rId326" ref="F162"/>
    <hyperlink r:id="rId327" ref="G162"/>
    <hyperlink r:id="rId328" ref="F163"/>
    <hyperlink r:id="rId329" ref="G163"/>
    <hyperlink r:id="rId330" ref="F164"/>
    <hyperlink r:id="rId331" ref="G164"/>
    <hyperlink r:id="rId332" ref="F165"/>
    <hyperlink r:id="rId333" ref="G165"/>
    <hyperlink r:id="rId334" ref="F166"/>
    <hyperlink r:id="rId335" ref="G166"/>
    <hyperlink r:id="rId336" ref="F167"/>
    <hyperlink r:id="rId337" ref="G167"/>
    <hyperlink r:id="rId338" ref="F168"/>
    <hyperlink r:id="rId339" ref="G168"/>
    <hyperlink r:id="rId340" ref="F169"/>
    <hyperlink r:id="rId341" ref="G169"/>
    <hyperlink r:id="rId342" ref="F170"/>
    <hyperlink r:id="rId343" ref="G170"/>
    <hyperlink r:id="rId344" ref="F171"/>
    <hyperlink r:id="rId345" ref="G171"/>
    <hyperlink r:id="rId346" ref="F172"/>
    <hyperlink r:id="rId347" ref="G172"/>
    <hyperlink r:id="rId348" ref="F173"/>
    <hyperlink r:id="rId349" ref="G173"/>
    <hyperlink r:id="rId350" ref="F174"/>
    <hyperlink r:id="rId351" ref="G174"/>
    <hyperlink r:id="rId352" ref="F175"/>
    <hyperlink r:id="rId353" ref="G175"/>
    <hyperlink r:id="rId354" ref="F176"/>
    <hyperlink r:id="rId355" ref="G176"/>
    <hyperlink r:id="rId356" ref="F177"/>
    <hyperlink r:id="rId357" ref="G177"/>
    <hyperlink r:id="rId358" ref="F178"/>
    <hyperlink r:id="rId359" ref="G178"/>
    <hyperlink r:id="rId360" ref="F179"/>
    <hyperlink r:id="rId361" ref="G179"/>
    <hyperlink r:id="rId362" ref="F180"/>
    <hyperlink r:id="rId363" ref="G180"/>
    <hyperlink r:id="rId364" ref="F181"/>
    <hyperlink r:id="rId365" ref="G181"/>
    <hyperlink r:id="rId366" ref="F182"/>
    <hyperlink r:id="rId367" ref="G182"/>
    <hyperlink r:id="rId368" ref="F183"/>
    <hyperlink r:id="rId369" ref="G183"/>
    <hyperlink r:id="rId370" ref="F184"/>
    <hyperlink r:id="rId371" ref="G184"/>
    <hyperlink r:id="rId372" ref="F185"/>
    <hyperlink r:id="rId373" ref="G185"/>
    <hyperlink r:id="rId374" ref="F186"/>
    <hyperlink r:id="rId375" ref="G186"/>
    <hyperlink r:id="rId376" ref="F187"/>
    <hyperlink r:id="rId377" ref="G187"/>
    <hyperlink r:id="rId378" ref="F188"/>
    <hyperlink r:id="rId379" ref="G188"/>
    <hyperlink r:id="rId380" ref="F189"/>
    <hyperlink r:id="rId381" ref="G189"/>
    <hyperlink r:id="rId382" ref="F190"/>
    <hyperlink r:id="rId383" ref="G190"/>
    <hyperlink r:id="rId384" ref="F191"/>
    <hyperlink r:id="rId385" ref="G191"/>
    <hyperlink r:id="rId386" ref="F192"/>
    <hyperlink r:id="rId387" ref="G192"/>
    <hyperlink r:id="rId388" ref="F193"/>
    <hyperlink r:id="rId389" ref="G193"/>
    <hyperlink r:id="rId390" ref="F194"/>
    <hyperlink r:id="rId391" ref="G194"/>
    <hyperlink r:id="rId392" ref="F195"/>
    <hyperlink r:id="rId393" ref="G195"/>
    <hyperlink r:id="rId394" ref="F196"/>
    <hyperlink r:id="rId395" ref="G196"/>
    <hyperlink r:id="rId396" ref="F197"/>
    <hyperlink r:id="rId397" ref="G197"/>
    <hyperlink r:id="rId398" ref="F198"/>
    <hyperlink r:id="rId399" ref="G198"/>
    <hyperlink r:id="rId400" ref="F199"/>
    <hyperlink r:id="rId401" ref="G199"/>
    <hyperlink r:id="rId402" ref="F200"/>
    <hyperlink r:id="rId403" ref="G200"/>
    <hyperlink r:id="rId404" ref="F201"/>
    <hyperlink r:id="rId405" ref="G201"/>
    <hyperlink r:id="rId406" ref="F202"/>
    <hyperlink r:id="rId407" ref="G202"/>
    <hyperlink r:id="rId408" ref="F203"/>
    <hyperlink r:id="rId409" ref="G203"/>
    <hyperlink r:id="rId410" ref="F204"/>
    <hyperlink r:id="rId411" ref="G204"/>
    <hyperlink r:id="rId412" ref="F205"/>
    <hyperlink r:id="rId413" ref="G205"/>
    <hyperlink r:id="rId414" ref="F206"/>
    <hyperlink r:id="rId415" ref="G206"/>
    <hyperlink r:id="rId416" ref="F207"/>
    <hyperlink r:id="rId417" ref="G207"/>
    <hyperlink r:id="rId418" ref="F208"/>
    <hyperlink r:id="rId419" ref="G208"/>
    <hyperlink r:id="rId420" ref="F209"/>
    <hyperlink r:id="rId421" ref="G209"/>
    <hyperlink r:id="rId422" ref="F210"/>
    <hyperlink r:id="rId423" ref="G210"/>
    <hyperlink r:id="rId424" ref="C211"/>
    <hyperlink r:id="rId425" ref="F211"/>
    <hyperlink r:id="rId426" ref="G211"/>
    <hyperlink r:id="rId427" ref="J211"/>
    <hyperlink r:id="rId428" ref="F212"/>
    <hyperlink r:id="rId429" ref="G212"/>
    <hyperlink r:id="rId430" ref="F213"/>
    <hyperlink r:id="rId431" ref="G213"/>
    <hyperlink r:id="rId432" ref="F214"/>
    <hyperlink r:id="rId433" ref="G214"/>
    <hyperlink r:id="rId434" ref="F215"/>
    <hyperlink r:id="rId435" ref="G215"/>
    <hyperlink r:id="rId436" ref="F216"/>
    <hyperlink r:id="rId437" ref="G216"/>
    <hyperlink r:id="rId438" ref="F217"/>
    <hyperlink r:id="rId439" ref="G217"/>
    <hyperlink r:id="rId440" ref="F218"/>
    <hyperlink r:id="rId441" ref="G218"/>
    <hyperlink r:id="rId442" ref="F219"/>
    <hyperlink r:id="rId443" ref="G219"/>
    <hyperlink r:id="rId444" ref="F220"/>
    <hyperlink r:id="rId445" ref="G220"/>
    <hyperlink r:id="rId446" ref="C221"/>
    <hyperlink r:id="rId447" ref="F221"/>
    <hyperlink r:id="rId448" ref="G221"/>
    <hyperlink r:id="rId449" ref="J221"/>
    <hyperlink r:id="rId450" ref="F222"/>
    <hyperlink r:id="rId451" ref="G222"/>
    <hyperlink r:id="rId452" ref="F223"/>
    <hyperlink r:id="rId453" ref="G223"/>
    <hyperlink r:id="rId454" ref="F224"/>
    <hyperlink r:id="rId455" ref="G224"/>
    <hyperlink r:id="rId456" ref="F225"/>
    <hyperlink r:id="rId457" ref="G225"/>
    <hyperlink r:id="rId458" ref="F226"/>
    <hyperlink r:id="rId459" ref="G226"/>
    <hyperlink r:id="rId460" ref="F227"/>
    <hyperlink r:id="rId461" ref="G227"/>
    <hyperlink r:id="rId462" ref="F228"/>
    <hyperlink r:id="rId463" ref="G228"/>
    <hyperlink r:id="rId464" ref="F229"/>
    <hyperlink r:id="rId465" ref="G229"/>
    <hyperlink r:id="rId466" ref="F230"/>
    <hyperlink r:id="rId467" ref="G230"/>
    <hyperlink r:id="rId468" ref="F231"/>
    <hyperlink r:id="rId469" ref="G231"/>
    <hyperlink r:id="rId470" ref="F232"/>
    <hyperlink r:id="rId471" ref="G232"/>
    <hyperlink r:id="rId472" ref="F233"/>
    <hyperlink r:id="rId473" ref="G233"/>
    <hyperlink r:id="rId474" ref="F234"/>
    <hyperlink r:id="rId475" ref="G234"/>
    <hyperlink r:id="rId476" ref="F235"/>
    <hyperlink r:id="rId477" ref="G235"/>
    <hyperlink r:id="rId478" ref="F236"/>
    <hyperlink r:id="rId479" ref="G236"/>
    <hyperlink r:id="rId480" ref="F237"/>
    <hyperlink r:id="rId481" ref="G237"/>
    <hyperlink r:id="rId482" ref="F238"/>
    <hyperlink r:id="rId483" ref="G238"/>
    <hyperlink r:id="rId484" ref="F239"/>
    <hyperlink r:id="rId485" ref="G239"/>
    <hyperlink r:id="rId486" ref="F240"/>
    <hyperlink r:id="rId487" ref="G240"/>
    <hyperlink r:id="rId488" ref="F241"/>
    <hyperlink r:id="rId489" ref="G241"/>
    <hyperlink r:id="rId490" ref="F242"/>
    <hyperlink r:id="rId491" ref="G242"/>
    <hyperlink r:id="rId492" ref="F243"/>
    <hyperlink r:id="rId493" ref="G243"/>
    <hyperlink r:id="rId494" ref="F244"/>
    <hyperlink r:id="rId495" ref="G244"/>
    <hyperlink r:id="rId496" ref="F245"/>
    <hyperlink r:id="rId497" ref="G245"/>
    <hyperlink r:id="rId498" ref="F246"/>
    <hyperlink r:id="rId499" ref="G246"/>
    <hyperlink r:id="rId500" ref="F247"/>
    <hyperlink r:id="rId501" ref="G247"/>
    <hyperlink r:id="rId502" ref="F248"/>
    <hyperlink r:id="rId503" ref="G248"/>
    <hyperlink r:id="rId504" ref="F249"/>
    <hyperlink r:id="rId505" ref="G249"/>
    <hyperlink r:id="rId506" ref="F250"/>
    <hyperlink r:id="rId507" ref="G250"/>
    <hyperlink r:id="rId508" ref="C251"/>
    <hyperlink r:id="rId509" ref="F251"/>
    <hyperlink r:id="rId510" ref="G251"/>
    <hyperlink r:id="rId511" ref="J251"/>
    <hyperlink r:id="rId512" ref="F252"/>
    <hyperlink r:id="rId513" ref="G252"/>
    <hyperlink r:id="rId514" ref="F253"/>
    <hyperlink r:id="rId515" ref="G253"/>
    <hyperlink r:id="rId516" ref="F254"/>
    <hyperlink r:id="rId517" ref="G254"/>
    <hyperlink r:id="rId518" ref="F255"/>
    <hyperlink r:id="rId519" ref="G255"/>
    <hyperlink r:id="rId520" ref="F256"/>
    <hyperlink r:id="rId521" ref="G256"/>
    <hyperlink r:id="rId522" ref="F257"/>
    <hyperlink r:id="rId523" ref="G257"/>
    <hyperlink r:id="rId524" ref="F258"/>
    <hyperlink r:id="rId525" ref="G258"/>
    <hyperlink r:id="rId526" ref="F259"/>
    <hyperlink r:id="rId527" ref="G259"/>
    <hyperlink r:id="rId528" ref="F260"/>
    <hyperlink r:id="rId529" ref="G260"/>
    <hyperlink r:id="rId530" ref="F261"/>
    <hyperlink r:id="rId531" ref="G261"/>
    <hyperlink r:id="rId532" ref="F262"/>
    <hyperlink r:id="rId533" ref="G262"/>
    <hyperlink r:id="rId534" ref="F263"/>
    <hyperlink r:id="rId535" ref="G263"/>
    <hyperlink r:id="rId536" ref="F264"/>
    <hyperlink r:id="rId537" ref="G264"/>
    <hyperlink r:id="rId538" ref="F265"/>
    <hyperlink r:id="rId539" ref="G265"/>
    <hyperlink r:id="rId540" ref="F266"/>
    <hyperlink r:id="rId541" ref="G266"/>
    <hyperlink r:id="rId542" ref="F267"/>
    <hyperlink r:id="rId543" ref="G267"/>
    <hyperlink r:id="rId544" ref="F268"/>
    <hyperlink r:id="rId545" ref="G268"/>
    <hyperlink r:id="rId546" ref="F269"/>
    <hyperlink r:id="rId547" ref="G269"/>
    <hyperlink r:id="rId548" ref="F270"/>
    <hyperlink r:id="rId549" ref="G270"/>
    <hyperlink r:id="rId550" ref="F271"/>
    <hyperlink r:id="rId551" ref="G271"/>
    <hyperlink r:id="rId552" ref="F272"/>
    <hyperlink r:id="rId553" ref="G272"/>
    <hyperlink r:id="rId554" ref="F273"/>
    <hyperlink r:id="rId555" ref="G273"/>
    <hyperlink r:id="rId556" ref="F274"/>
    <hyperlink r:id="rId557" ref="G274"/>
    <hyperlink r:id="rId558" ref="F287"/>
    <hyperlink r:id="rId559" ref="G287"/>
    <hyperlink r:id="rId560" ref="F288"/>
    <hyperlink r:id="rId561" ref="G288"/>
    <hyperlink r:id="rId562" ref="F289"/>
    <hyperlink r:id="rId563" ref="G289"/>
    <hyperlink r:id="rId564" ref="F290"/>
    <hyperlink r:id="rId565" ref="G290"/>
    <hyperlink r:id="rId566" ref="F291"/>
    <hyperlink r:id="rId567" ref="G291"/>
    <hyperlink r:id="rId568" ref="F292"/>
    <hyperlink r:id="rId569" ref="G292"/>
    <hyperlink r:id="rId570" ref="F293"/>
    <hyperlink r:id="rId571" ref="G293"/>
    <hyperlink r:id="rId572" ref="F294"/>
    <hyperlink r:id="rId573" ref="G294"/>
    <hyperlink r:id="rId574" ref="F295"/>
    <hyperlink r:id="rId575" ref="G295"/>
    <hyperlink r:id="rId576" ref="F296"/>
    <hyperlink r:id="rId577" ref="G296"/>
    <hyperlink r:id="rId578" ref="F297"/>
    <hyperlink r:id="rId579" ref="G297"/>
    <hyperlink r:id="rId580" ref="F298"/>
    <hyperlink r:id="rId581" ref="G298"/>
    <hyperlink r:id="rId582" ref="F299"/>
    <hyperlink r:id="rId583" ref="G299"/>
    <hyperlink r:id="rId584" ref="F300"/>
    <hyperlink r:id="rId585" ref="G300"/>
    <hyperlink r:id="rId586" ref="F301"/>
    <hyperlink r:id="rId587" ref="G301"/>
    <hyperlink r:id="rId588" ref="F302"/>
    <hyperlink r:id="rId589" ref="G302"/>
    <hyperlink r:id="rId590" ref="F303"/>
    <hyperlink r:id="rId591" ref="G303"/>
    <hyperlink r:id="rId592" ref="F304"/>
    <hyperlink r:id="rId593" ref="G304"/>
    <hyperlink r:id="rId594" ref="F305"/>
    <hyperlink r:id="rId595" ref="G305"/>
    <hyperlink r:id="rId596" ref="F306"/>
    <hyperlink r:id="rId597" ref="G306"/>
    <hyperlink r:id="rId598" ref="F307"/>
    <hyperlink r:id="rId599" ref="G307"/>
    <hyperlink r:id="rId600" ref="F308"/>
    <hyperlink r:id="rId601" ref="G308"/>
    <hyperlink r:id="rId602" ref="F309"/>
    <hyperlink r:id="rId603" ref="G309"/>
    <hyperlink r:id="rId604" ref="F310"/>
    <hyperlink r:id="rId605" ref="G310"/>
    <hyperlink r:id="rId606" ref="F311"/>
    <hyperlink r:id="rId607" ref="G311"/>
    <hyperlink r:id="rId608" ref="F312"/>
    <hyperlink r:id="rId609" ref="G312"/>
    <hyperlink r:id="rId610" ref="F313"/>
    <hyperlink r:id="rId611" ref="G313"/>
    <hyperlink r:id="rId612" ref="F314"/>
    <hyperlink r:id="rId613" ref="G314"/>
    <hyperlink r:id="rId614" ref="F315"/>
    <hyperlink r:id="rId615" ref="G315"/>
    <hyperlink r:id="rId616" ref="F316"/>
    <hyperlink r:id="rId617" ref="G316"/>
    <hyperlink r:id="rId618" ref="F317"/>
    <hyperlink r:id="rId619" ref="G317"/>
    <hyperlink r:id="rId620" ref="F318"/>
    <hyperlink r:id="rId621" ref="G318"/>
    <hyperlink r:id="rId622" ref="F319"/>
    <hyperlink r:id="rId623" ref="G319"/>
    <hyperlink r:id="rId624" ref="F320"/>
    <hyperlink r:id="rId625" ref="G320"/>
    <hyperlink r:id="rId626" ref="F321"/>
    <hyperlink r:id="rId627" ref="G321"/>
    <hyperlink r:id="rId628" ref="F322"/>
    <hyperlink r:id="rId629" ref="G322"/>
    <hyperlink r:id="rId630" ref="F323"/>
    <hyperlink r:id="rId631" ref="G323"/>
    <hyperlink r:id="rId632" ref="F324"/>
    <hyperlink r:id="rId633" ref="G324"/>
    <hyperlink r:id="rId634" ref="F325"/>
    <hyperlink r:id="rId635" ref="G325"/>
    <hyperlink r:id="rId636" ref="F326"/>
    <hyperlink r:id="rId637" ref="G326"/>
    <hyperlink r:id="rId638" ref="F327"/>
    <hyperlink r:id="rId639" ref="G327"/>
    <hyperlink r:id="rId640" ref="F328"/>
    <hyperlink r:id="rId641" ref="G328"/>
  </hyperlinks>
  <drawing r:id="rId642"/>
  <legacyDrawing r:id="rId6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19.14"/>
    <col customWidth="1" min="3" max="3" width="20.43"/>
    <col customWidth="1" min="4" max="5" width="20.86"/>
    <col customWidth="1" min="6" max="6" width="26.86"/>
    <col customWidth="1" min="7" max="7" width="31.43"/>
    <col customWidth="1" min="8" max="8" width="36.71"/>
    <col customWidth="1" min="9" max="9" width="39.71"/>
    <col customWidth="1" min="10" max="10" width="35.86"/>
    <col customWidth="1" min="11" max="11" width="34.43"/>
    <col customWidth="1" min="12" max="12" width="42.0"/>
    <col customWidth="1" min="13" max="13" width="43.71"/>
    <col customWidth="1" min="14" max="15" width="46.29"/>
    <col customWidth="1" min="16" max="16" width="41.57"/>
    <col customWidth="1" min="17" max="17" width="45.71"/>
    <col customWidth="1" min="18" max="18" width="49.29"/>
    <col customWidth="1" min="19" max="19" width="19.14"/>
    <col customWidth="1" min="20" max="20" width="15.14"/>
    <col customWidth="1" min="21" max="21" width="25.57"/>
    <col customWidth="1" min="22" max="22" width="28.86"/>
    <col customWidth="1" min="23" max="24" width="7.71"/>
    <col customWidth="1" min="25" max="25" width="27.86"/>
    <col customWidth="1" min="26" max="27" width="9.43"/>
    <col customWidth="1" min="28" max="28" width="27.86"/>
    <col customWidth="1" min="29" max="30" width="9.29"/>
    <col customWidth="1" min="31" max="31" width="27.86"/>
    <col customWidth="1" min="32" max="32" width="9.14"/>
    <col customWidth="1" min="33" max="33" width="9.71"/>
    <col customWidth="1" min="34" max="34" width="27.86"/>
    <col customWidth="1" min="35" max="36" width="9.86"/>
    <col customWidth="1" min="37" max="37" width="27.86"/>
    <col customWidth="1" min="38" max="39" width="8.71"/>
    <col customWidth="1" min="40" max="45" width="27.86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3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5" t="s">
        <v>22</v>
      </c>
      <c r="X1" s="6"/>
      <c r="Y1" s="5" t="s">
        <v>23</v>
      </c>
      <c r="Z1" s="6"/>
      <c r="AA1" s="6"/>
      <c r="AB1" s="5" t="s">
        <v>24</v>
      </c>
      <c r="AC1" s="6"/>
      <c r="AD1" s="6"/>
      <c r="AE1" s="5" t="s">
        <v>25</v>
      </c>
      <c r="AF1" s="6"/>
      <c r="AG1" s="6"/>
      <c r="AH1" s="5" t="s">
        <v>26</v>
      </c>
      <c r="AI1" s="6"/>
      <c r="AJ1" s="6"/>
      <c r="AK1" s="5" t="s">
        <v>27</v>
      </c>
      <c r="AL1" s="6"/>
      <c r="AM1" s="6"/>
      <c r="AN1" s="6"/>
      <c r="AO1" s="6"/>
      <c r="AP1" s="6"/>
      <c r="AQ1" s="6"/>
      <c r="AR1" s="6"/>
      <c r="AS1" s="6"/>
    </row>
    <row r="2">
      <c r="A2" s="9" t="s">
        <v>28</v>
      </c>
      <c r="B2" s="9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36</v>
      </c>
      <c r="I2" s="9" t="s">
        <v>37</v>
      </c>
      <c r="J2" s="9" t="s">
        <v>38</v>
      </c>
      <c r="K2" s="11" t="s">
        <v>39</v>
      </c>
      <c r="L2" s="11" t="s">
        <v>39</v>
      </c>
      <c r="M2" s="11" t="s">
        <v>39</v>
      </c>
      <c r="N2" s="11" t="s">
        <v>39</v>
      </c>
      <c r="O2" s="11" t="s">
        <v>39</v>
      </c>
      <c r="P2" s="9" t="s">
        <v>40</v>
      </c>
      <c r="Q2" s="9" t="s">
        <v>41</v>
      </c>
      <c r="R2" s="9" t="s">
        <v>42</v>
      </c>
      <c r="S2" s="9" t="s">
        <v>43</v>
      </c>
      <c r="T2" s="11" t="s">
        <v>39</v>
      </c>
      <c r="U2" s="11" t="s">
        <v>39</v>
      </c>
      <c r="V2" s="13" t="s">
        <v>44</v>
      </c>
      <c r="W2" s="15">
        <v>15.0</v>
      </c>
      <c r="X2" s="6">
        <f t="shared" ref="X2:X16" si="1">Round(1+((W2-MIN($W$2:$W$16))*(4)/(MAX($W$2:$W$16) - MIN($W$2:$W$16))),1)</f>
        <v>5</v>
      </c>
      <c r="Y2" s="25" t="s">
        <v>65</v>
      </c>
      <c r="Z2" s="24">
        <v>1.0</v>
      </c>
      <c r="AA2" s="6">
        <f t="shared" ref="AA2:AA8" si="2">Round(1+((Z2-MIN($Z$2:$Z$8))*(4)/(MAX($Z$2:$Z$8) - MIN($Z$2:$Z$8))),1)</f>
        <v>1</v>
      </c>
      <c r="AB2" s="15" t="s">
        <v>69</v>
      </c>
      <c r="AC2" s="15">
        <v>22.0</v>
      </c>
      <c r="AD2">
        <f t="shared" ref="AD2:AD23" si="3">Round(1+((AC2-MIN($AC$2:$AC$23))*(4)/(MAX($AC$2:$AC$23) - MIN($AC$2:$AC$23))),1)</f>
        <v>5</v>
      </c>
      <c r="AE2" s="24" t="s">
        <v>62</v>
      </c>
      <c r="AF2" s="24">
        <v>1.0</v>
      </c>
      <c r="AG2">
        <f t="shared" ref="AG2:AG11" si="4">Round(1+((AF2-MIN($AF$2:$AF$11))*(4)/(MAX($AF$2:$AF$11) - MIN($AF$2:$AF$11))),1)</f>
        <v>1</v>
      </c>
      <c r="AH2" s="24" t="s">
        <v>76</v>
      </c>
      <c r="AI2" s="24">
        <v>10.0</v>
      </c>
      <c r="AJ2">
        <f t="shared" ref="AJ2:AJ11" si="5">Round(1+((AI2-MIN($AI$2:$AI$11))*(4)/(MAX($AI$2:$AI$11) - MIN($AI$2:$AI$11))),1)</f>
        <v>5</v>
      </c>
      <c r="AK2" s="24" t="s">
        <v>62</v>
      </c>
      <c r="AL2" s="24">
        <v>1.0</v>
      </c>
      <c r="AM2">
        <f t="shared" ref="AM2:AM11" si="6">Round(1+((AL2-MIN($AL$2:$AL$11))*(4)/(MAX($AL$2:$AL$11) - MIN($AL$2:$AL$11))),1)</f>
        <v>1</v>
      </c>
    </row>
    <row r="3">
      <c r="A3" s="9" t="s">
        <v>79</v>
      </c>
      <c r="B3" s="9" t="s">
        <v>80</v>
      </c>
      <c r="C3" s="9" t="s">
        <v>81</v>
      </c>
      <c r="D3" s="9" t="s">
        <v>82</v>
      </c>
      <c r="E3" s="9" t="s">
        <v>83</v>
      </c>
      <c r="F3" s="9" t="s">
        <v>84</v>
      </c>
      <c r="G3" s="9" t="s">
        <v>85</v>
      </c>
      <c r="H3" s="9" t="s">
        <v>86</v>
      </c>
      <c r="I3" s="9" t="s">
        <v>87</v>
      </c>
      <c r="J3" s="11" t="s">
        <v>88</v>
      </c>
      <c r="K3" s="9" t="s">
        <v>89</v>
      </c>
      <c r="L3" s="9" t="s">
        <v>89</v>
      </c>
      <c r="M3" s="9" t="s">
        <v>89</v>
      </c>
      <c r="N3" s="9" t="s">
        <v>89</v>
      </c>
      <c r="O3" s="9" t="s">
        <v>89</v>
      </c>
      <c r="P3" s="9" t="s">
        <v>90</v>
      </c>
      <c r="Q3" s="9" t="s">
        <v>91</v>
      </c>
      <c r="R3" s="9" t="s">
        <v>92</v>
      </c>
      <c r="S3" s="9" t="s">
        <v>93</v>
      </c>
      <c r="T3" s="9" t="s">
        <v>89</v>
      </c>
      <c r="U3" s="9" t="s">
        <v>89</v>
      </c>
      <c r="V3" s="13" t="s">
        <v>94</v>
      </c>
      <c r="W3" s="15">
        <v>14.0</v>
      </c>
      <c r="X3" s="6">
        <f t="shared" si="1"/>
        <v>4.7</v>
      </c>
      <c r="Y3" s="25" t="s">
        <v>95</v>
      </c>
      <c r="Z3" s="24">
        <v>2.0</v>
      </c>
      <c r="AA3" s="6">
        <f t="shared" si="2"/>
        <v>1.7</v>
      </c>
      <c r="AB3" s="15" t="s">
        <v>72</v>
      </c>
      <c r="AC3" s="15">
        <v>21.0</v>
      </c>
      <c r="AD3">
        <f t="shared" si="3"/>
        <v>4.8</v>
      </c>
      <c r="AE3" s="24" t="s">
        <v>67</v>
      </c>
      <c r="AF3" s="24">
        <v>2.0</v>
      </c>
      <c r="AG3">
        <f t="shared" si="4"/>
        <v>1.4</v>
      </c>
      <c r="AH3" s="24" t="s">
        <v>97</v>
      </c>
      <c r="AI3" s="24">
        <v>9.0</v>
      </c>
      <c r="AJ3">
        <f t="shared" si="5"/>
        <v>4.6</v>
      </c>
      <c r="AK3" s="24" t="s">
        <v>67</v>
      </c>
      <c r="AL3" s="24">
        <v>2.0</v>
      </c>
      <c r="AM3">
        <f t="shared" si="6"/>
        <v>1.4</v>
      </c>
    </row>
    <row r="4">
      <c r="A4" s="9" t="s">
        <v>98</v>
      </c>
      <c r="B4" s="38" t="s">
        <v>99</v>
      </c>
      <c r="C4" s="9" t="s">
        <v>100</v>
      </c>
      <c r="D4" s="9" t="s">
        <v>101</v>
      </c>
      <c r="E4" s="9" t="s">
        <v>102</v>
      </c>
      <c r="F4" s="11" t="s">
        <v>103</v>
      </c>
      <c r="G4" s="9" t="s">
        <v>104</v>
      </c>
      <c r="H4" s="9"/>
      <c r="I4" s="9" t="s">
        <v>105</v>
      </c>
      <c r="J4" s="9"/>
      <c r="K4" s="9"/>
      <c r="L4" s="9"/>
      <c r="M4" s="9"/>
      <c r="N4" s="9"/>
      <c r="O4" s="9"/>
      <c r="P4" s="9" t="s">
        <v>106</v>
      </c>
      <c r="Q4" s="9" t="s">
        <v>107</v>
      </c>
      <c r="R4" s="9" t="s">
        <v>108</v>
      </c>
      <c r="S4" s="9" t="s">
        <v>109</v>
      </c>
      <c r="V4" s="13" t="s">
        <v>110</v>
      </c>
      <c r="W4" s="15">
        <v>13.0</v>
      </c>
      <c r="X4" s="6">
        <f t="shared" si="1"/>
        <v>4.4</v>
      </c>
      <c r="Y4" s="25" t="s">
        <v>112</v>
      </c>
      <c r="Z4" s="24">
        <v>3.0</v>
      </c>
      <c r="AA4" s="6">
        <f t="shared" si="2"/>
        <v>2.3</v>
      </c>
      <c r="AB4" s="15" t="s">
        <v>113</v>
      </c>
      <c r="AC4" s="15">
        <v>20.0</v>
      </c>
      <c r="AD4">
        <f t="shared" si="3"/>
        <v>4.6</v>
      </c>
      <c r="AE4" s="24" t="s">
        <v>68</v>
      </c>
      <c r="AF4" s="24">
        <v>3.0</v>
      </c>
      <c r="AG4">
        <f t="shared" si="4"/>
        <v>1.9</v>
      </c>
      <c r="AH4" s="24" t="s">
        <v>114</v>
      </c>
      <c r="AI4" s="24">
        <v>8.0</v>
      </c>
      <c r="AJ4">
        <f t="shared" si="5"/>
        <v>4.1</v>
      </c>
      <c r="AK4" s="24" t="s">
        <v>68</v>
      </c>
      <c r="AL4" s="24">
        <v>3.0</v>
      </c>
      <c r="AM4">
        <f t="shared" si="6"/>
        <v>1.9</v>
      </c>
    </row>
    <row r="5">
      <c r="A5" s="9" t="s">
        <v>116</v>
      </c>
      <c r="B5" s="42" t="s">
        <v>117</v>
      </c>
      <c r="C5" s="9"/>
      <c r="D5" s="9" t="s">
        <v>119</v>
      </c>
      <c r="E5" s="9" t="s">
        <v>120</v>
      </c>
      <c r="F5" s="9" t="s">
        <v>121</v>
      </c>
      <c r="G5" s="9" t="s">
        <v>122</v>
      </c>
      <c r="H5" s="9"/>
      <c r="I5" s="9" t="s">
        <v>123</v>
      </c>
      <c r="J5" s="9"/>
      <c r="K5" s="9"/>
      <c r="L5" s="9"/>
      <c r="M5" s="9"/>
      <c r="N5" s="9"/>
      <c r="O5" s="9"/>
      <c r="P5" s="9"/>
      <c r="Q5" s="9" t="s">
        <v>124</v>
      </c>
      <c r="R5" s="9" t="s">
        <v>125</v>
      </c>
      <c r="S5" s="9" t="s">
        <v>126</v>
      </c>
      <c r="V5" s="13" t="s">
        <v>127</v>
      </c>
      <c r="W5" s="15">
        <v>12.0</v>
      </c>
      <c r="X5" s="6">
        <f t="shared" si="1"/>
        <v>4.1</v>
      </c>
      <c r="Y5" s="25" t="s">
        <v>128</v>
      </c>
      <c r="Z5" s="24">
        <v>4.0</v>
      </c>
      <c r="AA5" s="6">
        <f t="shared" si="2"/>
        <v>3</v>
      </c>
      <c r="AB5" s="15" t="s">
        <v>130</v>
      </c>
      <c r="AC5" s="15">
        <v>19.0</v>
      </c>
      <c r="AD5">
        <f t="shared" si="3"/>
        <v>4.4</v>
      </c>
      <c r="AE5" s="24" t="s">
        <v>70</v>
      </c>
      <c r="AF5" s="24">
        <v>4.0</v>
      </c>
      <c r="AG5">
        <f t="shared" si="4"/>
        <v>2.3</v>
      </c>
      <c r="AH5" s="24" t="s">
        <v>131</v>
      </c>
      <c r="AI5" s="24">
        <v>7.0</v>
      </c>
      <c r="AJ5">
        <f t="shared" si="5"/>
        <v>3.7</v>
      </c>
      <c r="AK5" s="24" t="s">
        <v>70</v>
      </c>
      <c r="AL5" s="24">
        <v>4.0</v>
      </c>
      <c r="AM5">
        <f t="shared" si="6"/>
        <v>2.3</v>
      </c>
    </row>
    <row r="6">
      <c r="A6" s="9" t="s">
        <v>132</v>
      </c>
      <c r="B6" s="9" t="s">
        <v>133</v>
      </c>
      <c r="C6" s="9"/>
      <c r="D6" s="9" t="s">
        <v>134</v>
      </c>
      <c r="E6" s="9"/>
      <c r="F6" s="9" t="s">
        <v>135</v>
      </c>
      <c r="G6" s="9"/>
      <c r="H6" s="9"/>
      <c r="I6" s="9" t="s">
        <v>136</v>
      </c>
      <c r="J6" s="9"/>
      <c r="K6" s="9"/>
      <c r="L6" s="9"/>
      <c r="M6" s="9"/>
      <c r="N6" s="9"/>
      <c r="O6" s="9"/>
      <c r="P6" s="9"/>
      <c r="Q6" s="9"/>
      <c r="R6" s="9" t="s">
        <v>138</v>
      </c>
      <c r="S6" s="9" t="s">
        <v>139</v>
      </c>
      <c r="V6" s="13" t="s">
        <v>140</v>
      </c>
      <c r="W6" s="15">
        <v>11.0</v>
      </c>
      <c r="X6" s="6">
        <f t="shared" si="1"/>
        <v>3.9</v>
      </c>
      <c r="Y6" s="25" t="s">
        <v>142</v>
      </c>
      <c r="Z6" s="24">
        <v>5.0</v>
      </c>
      <c r="AA6" s="6">
        <f t="shared" si="2"/>
        <v>3.7</v>
      </c>
      <c r="AB6" s="15" t="s">
        <v>143</v>
      </c>
      <c r="AC6" s="15">
        <v>18.0</v>
      </c>
      <c r="AD6">
        <f t="shared" si="3"/>
        <v>4.2</v>
      </c>
      <c r="AE6" s="24" t="s">
        <v>71</v>
      </c>
      <c r="AF6" s="24">
        <v>5.0</v>
      </c>
      <c r="AG6">
        <f t="shared" si="4"/>
        <v>2.8</v>
      </c>
      <c r="AH6" s="24" t="s">
        <v>149</v>
      </c>
      <c r="AI6" s="24">
        <v>6.0</v>
      </c>
      <c r="AJ6">
        <f t="shared" si="5"/>
        <v>3.2</v>
      </c>
      <c r="AK6" s="24" t="s">
        <v>71</v>
      </c>
      <c r="AL6" s="24">
        <v>5.0</v>
      </c>
      <c r="AM6">
        <f t="shared" si="6"/>
        <v>2.8</v>
      </c>
    </row>
    <row r="7">
      <c r="A7" s="9" t="s">
        <v>153</v>
      </c>
      <c r="B7" s="9" t="s">
        <v>154</v>
      </c>
      <c r="C7" s="9"/>
      <c r="D7" s="9" t="s">
        <v>156</v>
      </c>
      <c r="E7" s="9"/>
      <c r="F7" s="11" t="s">
        <v>157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 t="s">
        <v>158</v>
      </c>
      <c r="S7" s="9" t="s">
        <v>159</v>
      </c>
      <c r="V7" s="13" t="s">
        <v>160</v>
      </c>
      <c r="W7" s="15">
        <v>10.0</v>
      </c>
      <c r="X7" s="6">
        <f t="shared" si="1"/>
        <v>3.6</v>
      </c>
      <c r="Y7" s="25" t="s">
        <v>161</v>
      </c>
      <c r="Z7" s="24">
        <v>6.0</v>
      </c>
      <c r="AA7" s="6">
        <f t="shared" si="2"/>
        <v>4.3</v>
      </c>
      <c r="AB7" s="15" t="s">
        <v>162</v>
      </c>
      <c r="AC7" s="15">
        <v>17.0</v>
      </c>
      <c r="AD7">
        <f t="shared" si="3"/>
        <v>4</v>
      </c>
      <c r="AE7" s="24" t="s">
        <v>72</v>
      </c>
      <c r="AF7" s="24">
        <v>6.0</v>
      </c>
      <c r="AG7">
        <f t="shared" si="4"/>
        <v>3.2</v>
      </c>
      <c r="AH7" s="24" t="s">
        <v>164</v>
      </c>
      <c r="AI7" s="24">
        <v>5.0</v>
      </c>
      <c r="AJ7">
        <f t="shared" si="5"/>
        <v>2.8</v>
      </c>
      <c r="AK7" s="24" t="s">
        <v>72</v>
      </c>
      <c r="AL7" s="24">
        <v>6.0</v>
      </c>
      <c r="AM7">
        <f t="shared" si="6"/>
        <v>3.2</v>
      </c>
    </row>
    <row r="8">
      <c r="A8" s="9" t="s">
        <v>166</v>
      </c>
      <c r="B8" s="9" t="s">
        <v>167</v>
      </c>
      <c r="C8" s="9"/>
      <c r="D8" s="9" t="s">
        <v>168</v>
      </c>
      <c r="E8" s="9"/>
      <c r="F8" s="9" t="s">
        <v>169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 t="s">
        <v>172</v>
      </c>
      <c r="V8" s="13" t="s">
        <v>174</v>
      </c>
      <c r="W8" s="15">
        <v>9.0</v>
      </c>
      <c r="X8" s="6">
        <f t="shared" si="1"/>
        <v>3.3</v>
      </c>
      <c r="Y8" s="25" t="s">
        <v>181</v>
      </c>
      <c r="Z8" s="24">
        <v>7.0</v>
      </c>
      <c r="AA8" s="6">
        <f t="shared" si="2"/>
        <v>5</v>
      </c>
      <c r="AB8" s="15" t="s">
        <v>187</v>
      </c>
      <c r="AC8" s="15">
        <v>16.0</v>
      </c>
      <c r="AD8">
        <f t="shared" si="3"/>
        <v>3.9</v>
      </c>
      <c r="AE8" s="24" t="s">
        <v>73</v>
      </c>
      <c r="AF8" s="24">
        <v>7.0</v>
      </c>
      <c r="AG8">
        <f t="shared" si="4"/>
        <v>3.7</v>
      </c>
      <c r="AH8" s="24" t="s">
        <v>190</v>
      </c>
      <c r="AI8" s="24">
        <v>4.0</v>
      </c>
      <c r="AJ8">
        <f t="shared" si="5"/>
        <v>2.3</v>
      </c>
      <c r="AK8" s="24" t="s">
        <v>73</v>
      </c>
      <c r="AL8" s="24">
        <v>7.0</v>
      </c>
      <c r="AM8">
        <f t="shared" si="6"/>
        <v>3.7</v>
      </c>
    </row>
    <row r="9">
      <c r="A9" s="9" t="s">
        <v>192</v>
      </c>
      <c r="B9" s="9" t="s">
        <v>193</v>
      </c>
      <c r="C9" s="9"/>
      <c r="D9" s="9" t="s">
        <v>194</v>
      </c>
      <c r="E9" s="9"/>
      <c r="F9" s="9" t="s">
        <v>195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 t="s">
        <v>198</v>
      </c>
      <c r="V9" s="13" t="s">
        <v>199</v>
      </c>
      <c r="W9" s="15">
        <v>8.0</v>
      </c>
      <c r="X9" s="6">
        <f t="shared" si="1"/>
        <v>3</v>
      </c>
      <c r="Y9" s="25"/>
      <c r="Z9" s="24"/>
      <c r="AA9" s="6"/>
      <c r="AB9" s="15" t="s">
        <v>207</v>
      </c>
      <c r="AC9" s="15">
        <v>15.0</v>
      </c>
      <c r="AD9">
        <f t="shared" si="3"/>
        <v>3.7</v>
      </c>
      <c r="AE9" s="24" t="s">
        <v>74</v>
      </c>
      <c r="AF9" s="24">
        <v>8.0</v>
      </c>
      <c r="AG9">
        <f t="shared" si="4"/>
        <v>4.1</v>
      </c>
      <c r="AH9" s="24" t="s">
        <v>216</v>
      </c>
      <c r="AI9" s="24">
        <v>3.0</v>
      </c>
      <c r="AJ9">
        <f t="shared" si="5"/>
        <v>1.9</v>
      </c>
      <c r="AK9" s="24" t="s">
        <v>74</v>
      </c>
      <c r="AL9" s="24">
        <v>8.0</v>
      </c>
      <c r="AM9">
        <f t="shared" si="6"/>
        <v>4.1</v>
      </c>
    </row>
    <row r="10">
      <c r="A10" s="9" t="s">
        <v>220</v>
      </c>
      <c r="B10" s="9" t="s">
        <v>221</v>
      </c>
      <c r="C10" s="9"/>
      <c r="D10" s="9" t="s">
        <v>222</v>
      </c>
      <c r="E10" s="9"/>
      <c r="F10" s="11" t="s">
        <v>225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 t="s">
        <v>230</v>
      </c>
      <c r="V10" s="13" t="s">
        <v>232</v>
      </c>
      <c r="W10" s="15">
        <v>7.0</v>
      </c>
      <c r="X10" s="6">
        <f t="shared" si="1"/>
        <v>2.7</v>
      </c>
      <c r="Y10" s="25"/>
      <c r="Z10" s="24"/>
      <c r="AA10" s="6"/>
      <c r="AB10" s="15" t="s">
        <v>240</v>
      </c>
      <c r="AC10" s="15">
        <v>14.0</v>
      </c>
      <c r="AD10">
        <f t="shared" si="3"/>
        <v>3.5</v>
      </c>
      <c r="AE10" s="24" t="s">
        <v>75</v>
      </c>
      <c r="AF10" s="24">
        <v>9.0</v>
      </c>
      <c r="AG10">
        <f t="shared" si="4"/>
        <v>4.6</v>
      </c>
      <c r="AH10" s="24" t="s">
        <v>250</v>
      </c>
      <c r="AI10" s="24">
        <v>2.0</v>
      </c>
      <c r="AJ10">
        <f t="shared" si="5"/>
        <v>1.4</v>
      </c>
      <c r="AK10" s="24" t="s">
        <v>75</v>
      </c>
      <c r="AL10" s="24">
        <v>9.0</v>
      </c>
      <c r="AM10">
        <f t="shared" si="6"/>
        <v>4.6</v>
      </c>
    </row>
    <row r="11">
      <c r="A11" s="9" t="s">
        <v>262</v>
      </c>
      <c r="B11" s="42" t="s">
        <v>264</v>
      </c>
      <c r="C11" s="9"/>
      <c r="D11" s="9" t="s">
        <v>267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 t="s">
        <v>274</v>
      </c>
      <c r="V11" s="13" t="s">
        <v>276</v>
      </c>
      <c r="W11" s="15">
        <v>6.0</v>
      </c>
      <c r="X11" s="6">
        <f t="shared" si="1"/>
        <v>2.4</v>
      </c>
      <c r="Y11" s="25"/>
      <c r="Z11" s="24"/>
      <c r="AA11" s="6"/>
      <c r="AB11" s="15" t="s">
        <v>284</v>
      </c>
      <c r="AC11" s="15">
        <v>13.0</v>
      </c>
      <c r="AD11">
        <f t="shared" si="3"/>
        <v>3.3</v>
      </c>
      <c r="AE11" s="24" t="s">
        <v>78</v>
      </c>
      <c r="AF11" s="24">
        <v>10.0</v>
      </c>
      <c r="AG11">
        <f t="shared" si="4"/>
        <v>5</v>
      </c>
      <c r="AH11" s="24" t="s">
        <v>305</v>
      </c>
      <c r="AI11" s="24">
        <v>1.0</v>
      </c>
      <c r="AJ11">
        <f t="shared" si="5"/>
        <v>1</v>
      </c>
      <c r="AK11" s="24" t="s">
        <v>78</v>
      </c>
      <c r="AL11" s="24">
        <v>10.0</v>
      </c>
      <c r="AM11">
        <f t="shared" si="6"/>
        <v>5</v>
      </c>
    </row>
    <row r="12">
      <c r="A12" s="9" t="s">
        <v>315</v>
      </c>
      <c r="B12" s="42" t="s">
        <v>316</v>
      </c>
      <c r="C12" s="9"/>
      <c r="D12" s="9" t="s">
        <v>317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 t="s">
        <v>318</v>
      </c>
      <c r="V12" s="13" t="s">
        <v>319</v>
      </c>
      <c r="W12" s="15">
        <v>5.0</v>
      </c>
      <c r="X12" s="6">
        <f t="shared" si="1"/>
        <v>2.1</v>
      </c>
      <c r="Y12" s="25"/>
      <c r="Z12" s="24"/>
      <c r="AA12" s="6"/>
      <c r="AB12" s="15" t="s">
        <v>320</v>
      </c>
      <c r="AC12" s="15">
        <v>12.0</v>
      </c>
      <c r="AD12">
        <f t="shared" si="3"/>
        <v>3.1</v>
      </c>
      <c r="AE12" s="24"/>
      <c r="AF12" s="24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>
      <c r="A13" s="9" t="s">
        <v>322</v>
      </c>
      <c r="B13" s="42" t="s">
        <v>323</v>
      </c>
      <c r="C13" s="9"/>
      <c r="D13" s="9" t="s">
        <v>324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 t="s">
        <v>325</v>
      </c>
      <c r="V13" s="13" t="s">
        <v>326</v>
      </c>
      <c r="W13" s="15">
        <v>4.0</v>
      </c>
      <c r="X13" s="6">
        <f t="shared" si="1"/>
        <v>1.9</v>
      </c>
      <c r="Y13" s="25"/>
      <c r="Z13" s="24"/>
      <c r="AA13" s="6"/>
      <c r="AB13" s="15" t="s">
        <v>331</v>
      </c>
      <c r="AC13" s="15">
        <v>11.0</v>
      </c>
      <c r="AD13">
        <f t="shared" si="3"/>
        <v>2.9</v>
      </c>
      <c r="AE13" s="24"/>
      <c r="AF13" s="24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>
      <c r="A14" s="9" t="s">
        <v>332</v>
      </c>
      <c r="B14" s="42" t="s">
        <v>333</v>
      </c>
      <c r="C14" s="9"/>
      <c r="D14" s="9" t="s">
        <v>334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 t="s">
        <v>336</v>
      </c>
      <c r="V14" s="13" t="s">
        <v>337</v>
      </c>
      <c r="W14" s="15">
        <v>3.0</v>
      </c>
      <c r="X14" s="6">
        <f t="shared" si="1"/>
        <v>1.6</v>
      </c>
      <c r="Y14" s="60"/>
      <c r="Z14" s="6"/>
      <c r="AA14" s="6"/>
      <c r="AB14" s="15" t="s">
        <v>339</v>
      </c>
      <c r="AC14" s="15">
        <v>10.0</v>
      </c>
      <c r="AD14">
        <f t="shared" si="3"/>
        <v>2.7</v>
      </c>
      <c r="AE14" s="24"/>
      <c r="AF14" s="24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>
      <c r="A15" s="9" t="s">
        <v>340</v>
      </c>
      <c r="B15" s="9" t="s">
        <v>341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 t="s">
        <v>343</v>
      </c>
      <c r="V15" s="13" t="s">
        <v>344</v>
      </c>
      <c r="W15" s="15">
        <v>2.0</v>
      </c>
      <c r="X15" s="6">
        <f t="shared" si="1"/>
        <v>1.3</v>
      </c>
      <c r="Y15" s="60"/>
      <c r="Z15" s="6"/>
      <c r="AA15" s="6"/>
      <c r="AB15" s="15" t="s">
        <v>345</v>
      </c>
      <c r="AC15" s="15">
        <v>9.0</v>
      </c>
      <c r="AD15">
        <f t="shared" si="3"/>
        <v>2.5</v>
      </c>
      <c r="AE15" s="24"/>
      <c r="AF15" s="24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>
      <c r="A16" s="9" t="s">
        <v>348</v>
      </c>
      <c r="B16" s="9" t="s">
        <v>349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 t="s">
        <v>350</v>
      </c>
      <c r="V16" s="13" t="s">
        <v>351</v>
      </c>
      <c r="W16" s="15">
        <v>1.0</v>
      </c>
      <c r="X16" s="6">
        <f t="shared" si="1"/>
        <v>1</v>
      </c>
      <c r="Y16" s="60"/>
      <c r="Z16" s="6"/>
      <c r="AA16" s="6"/>
      <c r="AB16" s="15" t="s">
        <v>353</v>
      </c>
      <c r="AC16" s="15">
        <v>8.0</v>
      </c>
      <c r="AD16">
        <f t="shared" si="3"/>
        <v>2.3</v>
      </c>
      <c r="AE16" s="24"/>
      <c r="AF16" s="24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>
      <c r="A17" s="15" t="s">
        <v>354</v>
      </c>
      <c r="B17" s="9" t="s">
        <v>355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 t="s">
        <v>357</v>
      </c>
      <c r="V17" s="66"/>
      <c r="X17" s="6"/>
      <c r="Y17" s="60"/>
      <c r="Z17" s="6"/>
      <c r="AA17" s="6"/>
      <c r="AB17" s="15" t="s">
        <v>360</v>
      </c>
      <c r="AC17" s="15">
        <v>7.0</v>
      </c>
      <c r="AD17">
        <f t="shared" si="3"/>
        <v>2.1</v>
      </c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>
      <c r="A18" s="9" t="s">
        <v>361</v>
      </c>
      <c r="B18" s="42" t="s">
        <v>362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 t="s">
        <v>363</v>
      </c>
      <c r="V18" s="66"/>
      <c r="X18" s="6"/>
      <c r="Y18" s="60"/>
      <c r="Z18" s="6"/>
      <c r="AA18" s="6"/>
      <c r="AB18" s="15" t="s">
        <v>364</v>
      </c>
      <c r="AC18" s="15">
        <v>6.0</v>
      </c>
      <c r="AD18">
        <f t="shared" si="3"/>
        <v>2</v>
      </c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>
      <c r="A19" s="9" t="s">
        <v>367</v>
      </c>
      <c r="B19" s="42" t="s">
        <v>368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 t="s">
        <v>369</v>
      </c>
      <c r="V19" s="69"/>
      <c r="X19" s="13"/>
      <c r="Y19" s="60"/>
      <c r="Z19" s="6"/>
      <c r="AA19" s="6"/>
      <c r="AB19" s="15" t="s">
        <v>371</v>
      </c>
      <c r="AC19" s="15">
        <v>5.0</v>
      </c>
      <c r="AD19">
        <f t="shared" si="3"/>
        <v>1.8</v>
      </c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>
      <c r="A20" s="9" t="s">
        <v>372</v>
      </c>
      <c r="B20" s="42" t="s">
        <v>373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 t="s">
        <v>374</v>
      </c>
      <c r="V20" s="69"/>
      <c r="X20" s="13"/>
      <c r="Y20" s="60"/>
      <c r="Z20" s="6"/>
      <c r="AA20" s="6"/>
      <c r="AB20" s="15" t="s">
        <v>376</v>
      </c>
      <c r="AC20" s="15">
        <v>4.0</v>
      </c>
      <c r="AD20">
        <f t="shared" si="3"/>
        <v>1.6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</row>
    <row r="21">
      <c r="A21" s="9" t="s">
        <v>378</v>
      </c>
      <c r="B21" s="42" t="s">
        <v>379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 t="s">
        <v>381</v>
      </c>
      <c r="V21" s="69"/>
      <c r="X21" s="13"/>
      <c r="Y21" s="60"/>
      <c r="Z21" s="6"/>
      <c r="AA21" s="6"/>
      <c r="AB21" s="15" t="s">
        <v>382</v>
      </c>
      <c r="AC21" s="15">
        <v>3.0</v>
      </c>
      <c r="AD21">
        <f t="shared" si="3"/>
        <v>1.4</v>
      </c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>
      <c r="A22" s="9" t="s">
        <v>383</v>
      </c>
      <c r="B22" s="42" t="s">
        <v>384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 t="s">
        <v>386</v>
      </c>
      <c r="V22" s="69"/>
      <c r="X22" s="13"/>
      <c r="Y22" s="60"/>
      <c r="Z22" s="6"/>
      <c r="AA22" s="6"/>
      <c r="AB22" s="15" t="s">
        <v>387</v>
      </c>
      <c r="AC22" s="15">
        <v>2.0</v>
      </c>
      <c r="AD22">
        <f t="shared" si="3"/>
        <v>1.2</v>
      </c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>
      <c r="A23" s="9" t="s">
        <v>389</v>
      </c>
      <c r="B23" s="11" t="s">
        <v>390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 t="s">
        <v>392</v>
      </c>
      <c r="V23" s="69"/>
      <c r="X23" s="13"/>
      <c r="Y23" s="60"/>
      <c r="Z23" s="6"/>
      <c r="AA23" s="6"/>
      <c r="AB23" s="15" t="s">
        <v>393</v>
      </c>
      <c r="AC23" s="15">
        <v>1.0</v>
      </c>
      <c r="AD23">
        <f t="shared" si="3"/>
        <v>1</v>
      </c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>
      <c r="A24" s="9" t="s">
        <v>394</v>
      </c>
      <c r="B24" s="11" t="s">
        <v>395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 t="s">
        <v>396</v>
      </c>
      <c r="V24" s="69"/>
      <c r="X24" s="13"/>
      <c r="Y24" s="60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>
      <c r="A25" s="9" t="s">
        <v>402</v>
      </c>
      <c r="B25" s="11" t="s">
        <v>403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V25" s="69"/>
      <c r="X25" s="13"/>
      <c r="Y25" s="60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>
      <c r="A26" s="9" t="s">
        <v>409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V26" s="69"/>
      <c r="X26" s="13"/>
      <c r="Y26" s="60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>
      <c r="A27" s="9" t="s">
        <v>415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V27" s="69"/>
      <c r="X27" s="13"/>
      <c r="Y27" s="60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>
      <c r="A28" s="9" t="s">
        <v>417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V28" s="69"/>
      <c r="X28" s="13"/>
      <c r="Y28" s="60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>
      <c r="A29" s="9" t="s">
        <v>419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V29" s="69"/>
      <c r="X29" s="13"/>
      <c r="Y29" s="60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>
      <c r="A30" s="9" t="s">
        <v>422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V30" s="69"/>
      <c r="X30" s="13"/>
      <c r="Y30" s="60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>
      <c r="A31" s="9" t="s">
        <v>423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V31" s="69"/>
      <c r="X31" s="13"/>
      <c r="Y31" s="60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  <row r="32">
      <c r="A32" s="9" t="s">
        <v>425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V32" s="69"/>
      <c r="X32" s="13"/>
      <c r="Y32" s="60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>
      <c r="A33" s="9" t="s">
        <v>428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V33" s="69"/>
      <c r="X33" s="13"/>
      <c r="Y33" s="60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>
      <c r="A34" s="9" t="s">
        <v>430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V34" s="66"/>
      <c r="Y34" s="60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</row>
    <row r="35">
      <c r="A35" s="9" t="s">
        <v>431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V35" s="66"/>
      <c r="Y35" s="60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>
      <c r="A36" s="9" t="s">
        <v>432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V36" s="66"/>
      <c r="X36" s="6"/>
      <c r="Y36" s="60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>
      <c r="A37" s="9" t="s">
        <v>433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V37" s="66"/>
      <c r="X37" s="6"/>
      <c r="Y37" s="60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</row>
    <row r="38">
      <c r="A38" s="9" t="s">
        <v>435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V38" s="66"/>
      <c r="X38" s="6"/>
      <c r="Y38" s="60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>
      <c r="A39" s="9" t="s">
        <v>436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V39" s="66"/>
      <c r="X39" s="6"/>
      <c r="Y39" s="60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</row>
    <row r="40">
      <c r="A40" s="9" t="s">
        <v>437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V40" s="66"/>
      <c r="X40" s="6"/>
      <c r="Y40" s="60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</row>
    <row r="41">
      <c r="A41" s="9" t="s">
        <v>438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V41" s="66"/>
      <c r="X41" s="6"/>
      <c r="Y41" s="60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</row>
    <row r="42">
      <c r="A42" s="9" t="s">
        <v>439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V42" s="66"/>
      <c r="X42" s="6"/>
      <c r="Y42" s="60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>
      <c r="A43" s="9" t="s">
        <v>441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V43" s="66"/>
      <c r="X43" s="6"/>
      <c r="Y43" s="60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>
      <c r="A44" s="9" t="s">
        <v>442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V44" s="66"/>
      <c r="X44" s="6"/>
      <c r="Y44" s="60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>
      <c r="A45" s="9" t="s">
        <v>445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V45" s="66"/>
      <c r="X45" s="6"/>
      <c r="Y45" s="60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>
      <c r="A46" s="9" t="s">
        <v>446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V46" s="66"/>
      <c r="X46" s="6"/>
      <c r="Y46" s="60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>
      <c r="A47" s="9" t="s">
        <v>447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V47" s="66"/>
      <c r="X47" s="6"/>
      <c r="Y47" s="60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>
      <c r="A48" s="9" t="s">
        <v>448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V48" s="66"/>
      <c r="X48" s="6"/>
      <c r="Y48" s="60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>
      <c r="A49" s="9" t="s">
        <v>449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V49" s="66"/>
      <c r="X49" s="6"/>
      <c r="Y49" s="60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>
      <c r="A50" s="9" t="s">
        <v>450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V50" s="66"/>
      <c r="X50" s="6"/>
      <c r="Y50" s="60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>
      <c r="A51" s="9" t="s">
        <v>451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V51" s="66"/>
      <c r="X51" s="6"/>
      <c r="Y51" s="60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>
      <c r="A52" s="9" t="s">
        <v>452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V52" s="66"/>
      <c r="X52" s="6"/>
      <c r="Y52" s="60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>
      <c r="A53" s="9" t="s">
        <v>453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V53" s="66"/>
      <c r="X53" s="6"/>
      <c r="Y53" s="60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>
      <c r="A54" s="9" t="s">
        <v>454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V54" s="66"/>
      <c r="X54" s="6"/>
      <c r="Y54" s="60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</row>
    <row r="55">
      <c r="A55" s="9" t="s">
        <v>455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V55" s="66"/>
      <c r="X55" s="6"/>
      <c r="Y55" s="60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  <row r="56">
      <c r="A56" s="9" t="s">
        <v>456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V56" s="66"/>
      <c r="X56" s="6"/>
      <c r="Y56" s="60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</row>
    <row r="57">
      <c r="A57" s="9" t="s">
        <v>457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V57" s="66"/>
      <c r="X57" s="6"/>
      <c r="Y57" s="60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>
      <c r="A58" s="9" t="s">
        <v>458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V58" s="66"/>
      <c r="X58" s="6"/>
      <c r="Y58" s="60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</row>
    <row r="59">
      <c r="A59" s="9" t="s">
        <v>459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V59" s="66"/>
      <c r="X59" s="6"/>
      <c r="Y59" s="60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</row>
    <row r="60">
      <c r="A60" s="9" t="s">
        <v>460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V60" s="66"/>
      <c r="X60" s="6"/>
      <c r="Y60" s="60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</row>
    <row r="61">
      <c r="A61" s="9" t="s">
        <v>461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V61" s="66"/>
      <c r="X61" s="6"/>
      <c r="Y61" s="60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</row>
    <row r="62">
      <c r="A62" s="9" t="s">
        <v>462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V62" s="66"/>
      <c r="X62" s="6"/>
      <c r="Y62" s="60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</row>
    <row r="63">
      <c r="A63" s="9" t="s">
        <v>463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V63" s="66"/>
      <c r="X63" s="6"/>
      <c r="Y63" s="60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</row>
    <row r="64">
      <c r="A64" s="9" t="s">
        <v>464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V64" s="66"/>
      <c r="X64" s="6"/>
      <c r="Y64" s="60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</row>
    <row r="65">
      <c r="A65" s="9" t="s">
        <v>465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V65" s="66"/>
      <c r="X65" s="6"/>
      <c r="Y65" s="60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</row>
    <row r="66">
      <c r="A66" s="9" t="s">
        <v>466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V66" s="66"/>
      <c r="X66" s="6"/>
      <c r="Y66" s="60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</row>
    <row r="67">
      <c r="A67" s="9" t="s">
        <v>467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V67" s="66"/>
      <c r="X67" s="6"/>
      <c r="Y67" s="60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</row>
    <row r="68">
      <c r="A68" s="9" t="s">
        <v>468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V68" s="66"/>
      <c r="X68" s="6"/>
      <c r="Y68" s="60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</row>
    <row r="69">
      <c r="A69" s="9" t="s">
        <v>470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V69" s="66"/>
      <c r="X69" s="6"/>
      <c r="Y69" s="60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</row>
    <row r="70">
      <c r="A70" s="9" t="s">
        <v>471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V70" s="66"/>
      <c r="X70" s="6"/>
      <c r="Y70" s="60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</row>
    <row r="71">
      <c r="A71" s="9" t="s">
        <v>472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V71" s="66"/>
      <c r="X71" s="6"/>
      <c r="Y71" s="60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</row>
    <row r="72">
      <c r="A72" s="9" t="s">
        <v>473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V72" s="66"/>
      <c r="X72" s="6"/>
      <c r="Y72" s="60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</row>
    <row r="73">
      <c r="A73" s="9" t="s">
        <v>474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V73" s="66"/>
      <c r="X73" s="6"/>
      <c r="Y73" s="60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</row>
    <row r="74">
      <c r="A74" s="9" t="s">
        <v>475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V74" s="66"/>
      <c r="X74" s="6"/>
      <c r="Y74" s="60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</row>
    <row r="75">
      <c r="A75" s="9" t="s">
        <v>476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V75" s="66"/>
      <c r="X75" s="6"/>
      <c r="Y75" s="60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</row>
    <row r="76">
      <c r="A76" s="9" t="s">
        <v>477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V76" s="66"/>
      <c r="X76" s="6"/>
      <c r="Y76" s="60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</row>
    <row r="77">
      <c r="A77" s="9" t="s">
        <v>478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V77" s="66"/>
      <c r="X77" s="6"/>
      <c r="Y77" s="60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>
      <c r="A78" s="9" t="s">
        <v>479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V78" s="66"/>
      <c r="X78" s="6"/>
      <c r="Y78" s="60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</row>
    <row r="79">
      <c r="A79" s="9" t="s">
        <v>480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V79" s="66"/>
      <c r="X79" s="6"/>
      <c r="Y79" s="60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</row>
    <row r="80">
      <c r="A80" s="9" t="s">
        <v>481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V80" s="66"/>
      <c r="X80" s="6"/>
      <c r="Y80" s="60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</row>
    <row r="81">
      <c r="A81" s="9" t="s">
        <v>482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V81" s="66"/>
      <c r="X81" s="6"/>
      <c r="Y81" s="60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</row>
    <row r="82">
      <c r="A82" s="9" t="s">
        <v>483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V82" s="66"/>
      <c r="X82" s="6"/>
      <c r="Y82" s="60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</row>
    <row r="83">
      <c r="A83" s="9" t="s">
        <v>484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V83" s="66"/>
      <c r="X83" s="6"/>
      <c r="Y83" s="60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>
      <c r="A84" s="9" t="s">
        <v>485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V84" s="66"/>
      <c r="X84" s="6"/>
      <c r="Y84" s="60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</row>
    <row r="85">
      <c r="A85" s="9" t="s">
        <v>486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V85" s="66"/>
      <c r="X85" s="6"/>
      <c r="Y85" s="60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</row>
    <row r="86">
      <c r="A86" s="9" t="s">
        <v>487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V86" s="66"/>
      <c r="X86" s="6"/>
      <c r="Y86" s="60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</row>
    <row r="87">
      <c r="A87" s="9" t="s">
        <v>488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V87" s="66"/>
      <c r="X87" s="6"/>
      <c r="Y87" s="60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>
      <c r="A88" s="9" t="s">
        <v>489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V88" s="66"/>
      <c r="X88" s="6"/>
      <c r="Y88" s="60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>
      <c r="A89" s="9" t="s">
        <v>490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V89" s="66"/>
      <c r="X89" s="6"/>
      <c r="Y89" s="60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</row>
    <row r="90">
      <c r="A90" s="9" t="s">
        <v>491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V90" s="66"/>
      <c r="X90" s="6"/>
      <c r="Y90" s="60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</row>
    <row r="91">
      <c r="A91" s="9" t="s">
        <v>492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V91" s="66"/>
      <c r="X91" s="6"/>
      <c r="Y91" s="60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</row>
    <row r="92">
      <c r="A92" s="9" t="s">
        <v>494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V92" s="66"/>
      <c r="X92" s="6"/>
      <c r="Y92" s="60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</row>
    <row r="93">
      <c r="A93" s="9" t="s">
        <v>495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V93" s="66"/>
      <c r="X93" s="6"/>
      <c r="Y93" s="60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>
      <c r="A94" s="9" t="s">
        <v>496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V94" s="66"/>
      <c r="X94" s="6"/>
      <c r="Y94" s="60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>
      <c r="A95" s="9" t="s">
        <v>497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V95" s="66"/>
      <c r="X95" s="6"/>
      <c r="Y95" s="60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>
      <c r="A96" s="9" t="s">
        <v>498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V96" s="66"/>
      <c r="X96" s="6"/>
      <c r="Y96" s="60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</row>
    <row r="97">
      <c r="A97" s="9" t="s">
        <v>499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V97" s="66"/>
      <c r="X97" s="6"/>
      <c r="Y97" s="60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</row>
    <row r="98">
      <c r="A98" s="9" t="s">
        <v>500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V98" s="66"/>
      <c r="X98" s="6"/>
      <c r="Y98" s="60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</row>
    <row r="99">
      <c r="A99" s="9" t="s">
        <v>501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V99" s="66"/>
      <c r="X99" s="6"/>
      <c r="Y99" s="60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</row>
    <row r="100">
      <c r="A100" s="9" t="s">
        <v>502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V100" s="66"/>
      <c r="X100" s="6"/>
      <c r="Y100" s="60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</row>
    <row r="101">
      <c r="A101" s="9" t="s">
        <v>503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V101" s="66"/>
      <c r="X101" s="6"/>
      <c r="Y101" s="60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</row>
    <row r="102">
      <c r="A102" s="9" t="s">
        <v>504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V102" s="66"/>
      <c r="X102" s="6"/>
      <c r="Y102" s="60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</row>
    <row r="103">
      <c r="A103" s="9" t="s">
        <v>505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V103" s="66"/>
      <c r="X103" s="6"/>
      <c r="Y103" s="60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</row>
    <row r="104">
      <c r="A104" s="9" t="s">
        <v>506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V104" s="66"/>
      <c r="X104" s="6"/>
      <c r="Y104" s="60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</row>
    <row r="105">
      <c r="A105" s="9" t="s">
        <v>507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V105" s="66"/>
      <c r="X105" s="6"/>
      <c r="Y105" s="6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</row>
    <row r="106">
      <c r="A106" s="9" t="s">
        <v>508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V106" s="66"/>
      <c r="X106" s="6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>
      <c r="A107" s="9" t="s">
        <v>509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V107" s="66"/>
      <c r="X107" s="6"/>
      <c r="Y107" s="60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</row>
    <row r="108">
      <c r="A108" s="9" t="s">
        <v>510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V108" s="66"/>
      <c r="X108" s="6"/>
      <c r="Y108" s="60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</row>
    <row r="109">
      <c r="A109" s="9" t="s">
        <v>511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V109" s="66"/>
      <c r="X109" s="6"/>
      <c r="Y109" s="60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</row>
    <row r="110">
      <c r="A110" s="9" t="s">
        <v>512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V110" s="66"/>
      <c r="X110" s="6"/>
      <c r="Y110" s="60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</row>
    <row r="111">
      <c r="A111" s="9" t="s">
        <v>513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V111" s="66"/>
      <c r="X111" s="6"/>
      <c r="Y111" s="60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</row>
    <row r="112">
      <c r="A112" s="9" t="s">
        <v>514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V112" s="66"/>
      <c r="X112" s="6"/>
      <c r="Y112" s="60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</row>
    <row r="113">
      <c r="A113" s="9" t="s">
        <v>515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V113" s="66"/>
      <c r="X113" s="6"/>
      <c r="Y113" s="60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</row>
    <row r="114">
      <c r="A114" s="9" t="s">
        <v>516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V114" s="66"/>
      <c r="X114" s="6"/>
      <c r="Y114" s="60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>
      <c r="A115" s="9" t="s">
        <v>517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V115" s="66"/>
      <c r="X115" s="6"/>
      <c r="Y115" s="60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>
      <c r="A116" s="9" t="s">
        <v>518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V116" s="66"/>
      <c r="X116" s="6"/>
      <c r="Y116" s="60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</row>
    <row r="117">
      <c r="A117" s="9" t="s">
        <v>519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V117" s="66"/>
      <c r="X117" s="6"/>
      <c r="Y117" s="60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</row>
    <row r="118">
      <c r="A118" s="9" t="s">
        <v>520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V118" s="66"/>
      <c r="X118" s="6"/>
      <c r="Y118" s="60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</row>
    <row r="119">
      <c r="A119" s="9" t="s">
        <v>521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V119" s="66"/>
      <c r="X119" s="6"/>
      <c r="Y119" s="60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</row>
    <row r="120">
      <c r="A120" s="9" t="s">
        <v>522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V120" s="66"/>
      <c r="X120" s="6"/>
      <c r="Y120" s="60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</row>
    <row r="121">
      <c r="A121" s="9" t="s">
        <v>523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V121" s="66"/>
      <c r="X121" s="6"/>
      <c r="Y121" s="60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</row>
    <row r="122">
      <c r="A122" s="9" t="s">
        <v>524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V122" s="66"/>
      <c r="X122" s="6"/>
      <c r="Y122" s="60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</row>
    <row r="123">
      <c r="A123" s="9" t="s">
        <v>525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V123" s="66"/>
      <c r="X123" s="6"/>
      <c r="Y123" s="60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</row>
    <row r="124">
      <c r="A124" s="9" t="s">
        <v>526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V124" s="66"/>
      <c r="X124" s="6"/>
      <c r="Y124" s="60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</row>
    <row r="125">
      <c r="A125" s="9" t="s">
        <v>527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V125" s="66"/>
      <c r="X125" s="6"/>
      <c r="Y125" s="60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</row>
    <row r="126">
      <c r="A126" s="9" t="s">
        <v>528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V126" s="66"/>
      <c r="X126" s="6"/>
      <c r="Y126" s="60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</row>
    <row r="127">
      <c r="A127" s="9" t="s">
        <v>529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V127" s="66"/>
      <c r="X127" s="6"/>
      <c r="Y127" s="60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</row>
    <row r="128">
      <c r="A128" s="9" t="s">
        <v>530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V128" s="66"/>
      <c r="X128" s="6"/>
      <c r="Y128" s="60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</row>
    <row r="129">
      <c r="A129" s="9" t="s">
        <v>531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V129" s="66"/>
      <c r="X129" s="6"/>
      <c r="Y129" s="60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>
      <c r="A130" s="9" t="s">
        <v>532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V130" s="66"/>
      <c r="X130" s="6"/>
      <c r="Y130" s="60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>
      <c r="A131" s="9" t="s">
        <v>533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V131" s="66"/>
      <c r="X131" s="6"/>
      <c r="Y131" s="60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</row>
    <row r="132">
      <c r="A132" s="9" t="s">
        <v>534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V132" s="66"/>
      <c r="X132" s="6"/>
      <c r="Y132" s="60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</row>
    <row r="133">
      <c r="A133" s="9" t="s">
        <v>534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V133" s="66"/>
      <c r="X133" s="6"/>
      <c r="Y133" s="60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</row>
    <row r="134">
      <c r="A134" s="9" t="s">
        <v>535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V134" s="66"/>
      <c r="X134" s="6"/>
      <c r="Y134" s="60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</row>
    <row r="135">
      <c r="A135" s="9" t="s">
        <v>536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V135" s="66"/>
      <c r="X135" s="6"/>
      <c r="Y135" s="60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</row>
    <row r="136">
      <c r="A136" s="9" t="s">
        <v>538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V136" s="66"/>
      <c r="X136" s="6"/>
      <c r="Y136" s="60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</row>
    <row r="137">
      <c r="A137" s="9" t="s">
        <v>539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V137" s="66"/>
      <c r="X137" s="6"/>
      <c r="Y137" s="60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</row>
    <row r="138">
      <c r="A138" s="9" t="s">
        <v>540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V138" s="66"/>
      <c r="X138" s="6"/>
      <c r="Y138" s="60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</row>
    <row r="139">
      <c r="A139" s="9" t="s">
        <v>541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V139" s="66"/>
      <c r="X139" s="6"/>
      <c r="Y139" s="60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</row>
    <row r="140">
      <c r="A140" s="9" t="s">
        <v>542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V140" s="66"/>
      <c r="X140" s="6"/>
      <c r="Y140" s="60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</row>
    <row r="141">
      <c r="A141" s="9" t="s">
        <v>543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V141" s="66"/>
      <c r="X141" s="6"/>
      <c r="Y141" s="60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</row>
    <row r="142">
      <c r="A142" s="9" t="s">
        <v>544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V142" s="66"/>
      <c r="X142" s="6"/>
      <c r="Y142" s="60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</row>
    <row r="143">
      <c r="A143" s="9" t="s">
        <v>545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V143" s="66"/>
      <c r="X143" s="6"/>
      <c r="Y143" s="60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</row>
    <row r="144">
      <c r="A144" s="9" t="s">
        <v>546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V144" s="66"/>
      <c r="X144" s="6"/>
      <c r="Y144" s="60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</row>
    <row r="145">
      <c r="A145" s="9" t="s">
        <v>547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V145" s="66"/>
      <c r="X145" s="6"/>
      <c r="Y145" s="60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</row>
    <row r="146">
      <c r="A146" s="9" t="s">
        <v>548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V146" s="66"/>
      <c r="X146" s="6"/>
      <c r="Y146" s="60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</row>
    <row r="147">
      <c r="A147" s="9" t="s">
        <v>549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V147" s="66"/>
      <c r="X147" s="6"/>
      <c r="Y147" s="60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</row>
    <row r="148">
      <c r="A148" s="9" t="s">
        <v>550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V148" s="66"/>
      <c r="X148" s="6"/>
      <c r="Y148" s="60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</row>
    <row r="149">
      <c r="A149" s="9" t="s">
        <v>551</v>
      </c>
      <c r="V149" s="66"/>
      <c r="X149" s="6"/>
      <c r="Y149" s="60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</row>
    <row r="150">
      <c r="V150" s="66"/>
      <c r="X150" s="6"/>
      <c r="Y150" s="60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</row>
    <row r="151">
      <c r="V151" s="66"/>
      <c r="X151" s="6"/>
      <c r="Y151" s="60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</row>
    <row r="152">
      <c r="V152" s="66"/>
      <c r="X152" s="6"/>
      <c r="Y152" s="60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</row>
    <row r="153">
      <c r="V153" s="66"/>
      <c r="X153" s="6"/>
      <c r="Y153" s="60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</row>
    <row r="154">
      <c r="V154" s="66"/>
      <c r="X154" s="6"/>
      <c r="Y154" s="60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</row>
    <row r="155">
      <c r="V155" s="66"/>
      <c r="X155" s="6"/>
      <c r="Y155" s="60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</row>
    <row r="156">
      <c r="V156" s="66"/>
      <c r="X156" s="6"/>
      <c r="Y156" s="60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>
      <c r="V157" s="66"/>
      <c r="X157" s="6"/>
      <c r="Y157" s="60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>
      <c r="V158" s="66"/>
      <c r="X158" s="6"/>
      <c r="Y158" s="60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59">
      <c r="V159" s="66"/>
      <c r="X159" s="6"/>
      <c r="Y159" s="60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</row>
    <row r="160">
      <c r="V160" s="66"/>
      <c r="X160" s="6"/>
      <c r="Y160" s="60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</cols>
  <sheetData>
    <row r="1">
      <c r="A1" s="7" t="s">
        <v>2</v>
      </c>
    </row>
    <row r="2">
      <c r="A2" s="15" t="s">
        <v>29</v>
      </c>
      <c r="C2" s="15" t="s">
        <v>45</v>
      </c>
    </row>
    <row r="3">
      <c r="A3" s="15" t="s">
        <v>46</v>
      </c>
      <c r="C3" s="15" t="s">
        <v>47</v>
      </c>
    </row>
    <row r="4">
      <c r="A4" s="15" t="s">
        <v>48</v>
      </c>
      <c r="C4" s="15" t="s">
        <v>49</v>
      </c>
    </row>
    <row r="5">
      <c r="A5" s="15" t="s">
        <v>50</v>
      </c>
      <c r="C5" s="15" t="s">
        <v>49</v>
      </c>
    </row>
    <row r="6">
      <c r="A6" s="15" t="s">
        <v>51</v>
      </c>
      <c r="C6" s="15" t="s">
        <v>52</v>
      </c>
    </row>
    <row r="7">
      <c r="A7" s="15" t="s">
        <v>53</v>
      </c>
      <c r="C7" s="15" t="s">
        <v>54</v>
      </c>
      <c r="E7" s="15"/>
      <c r="F7" s="15" t="s">
        <v>55</v>
      </c>
      <c r="G7" s="16"/>
    </row>
    <row r="8">
      <c r="A8" s="15" t="s">
        <v>56</v>
      </c>
      <c r="C8" s="15" t="s">
        <v>57</v>
      </c>
      <c r="G8" s="16"/>
    </row>
    <row r="9">
      <c r="G9" s="17"/>
      <c r="H9" s="18"/>
      <c r="I9" s="19"/>
    </row>
    <row r="10">
      <c r="G10" s="17"/>
    </row>
    <row r="11">
      <c r="G11" s="20"/>
    </row>
    <row r="12">
      <c r="G12" s="20"/>
    </row>
    <row r="13">
      <c r="G13" s="21"/>
    </row>
    <row r="14">
      <c r="C14" s="15" t="s">
        <v>58</v>
      </c>
      <c r="D14" s="15" t="s">
        <v>59</v>
      </c>
      <c r="E14" s="22" t="s">
        <v>60</v>
      </c>
      <c r="F14" s="23">
        <v>10000.0</v>
      </c>
      <c r="G14" s="15" t="s">
        <v>61</v>
      </c>
      <c r="H14" s="24" t="s">
        <v>62</v>
      </c>
      <c r="I14" s="15" t="s">
        <v>63</v>
      </c>
      <c r="J14" s="6">
        <v>5.0</v>
      </c>
      <c r="K14" s="15" t="s">
        <v>64</v>
      </c>
      <c r="M14" s="6" t="str">
        <f t="shared" ref="M14:M23" si="1">C14&amp;E14&amp;H14&amp;I14&amp;J14&amp;K14</f>
        <v>AY3= "&lt; $10K",5,</v>
      </c>
    </row>
    <row r="15">
      <c r="C15" s="15" t="s">
        <v>58</v>
      </c>
      <c r="D15" s="15" t="s">
        <v>66</v>
      </c>
      <c r="E15" s="22" t="s">
        <v>60</v>
      </c>
      <c r="F15" s="23">
        <v>50000.0</v>
      </c>
      <c r="G15" s="15" t="s">
        <v>61</v>
      </c>
      <c r="H15" s="24" t="s">
        <v>67</v>
      </c>
      <c r="I15" s="15" t="s">
        <v>63</v>
      </c>
      <c r="J15" s="6">
        <v>4.6</v>
      </c>
      <c r="K15" s="15" t="s">
        <v>64</v>
      </c>
      <c r="M15" s="6" t="str">
        <f t="shared" si="1"/>
        <v>AY3= "$10K - $50K",4.6,</v>
      </c>
    </row>
    <row r="16">
      <c r="C16" s="15" t="s">
        <v>58</v>
      </c>
      <c r="D16" s="15" t="s">
        <v>66</v>
      </c>
      <c r="E16" s="22" t="s">
        <v>60</v>
      </c>
      <c r="F16" s="23">
        <v>100000.0</v>
      </c>
      <c r="G16" s="15" t="s">
        <v>61</v>
      </c>
      <c r="H16" s="24" t="s">
        <v>68</v>
      </c>
      <c r="I16" s="15" t="s">
        <v>63</v>
      </c>
      <c r="J16" s="6">
        <v>4.1</v>
      </c>
      <c r="K16" s="15" t="s">
        <v>64</v>
      </c>
      <c r="M16" s="6" t="str">
        <f t="shared" si="1"/>
        <v>AY3= "$50K - $100K",4.1,</v>
      </c>
    </row>
    <row r="17">
      <c r="C17" s="15" t="s">
        <v>58</v>
      </c>
      <c r="D17" s="15" t="s">
        <v>66</v>
      </c>
      <c r="E17" s="22" t="s">
        <v>60</v>
      </c>
      <c r="F17" s="23">
        <v>500000.0</v>
      </c>
      <c r="G17" s="15" t="s">
        <v>61</v>
      </c>
      <c r="H17" s="24" t="s">
        <v>70</v>
      </c>
      <c r="I17" s="15" t="s">
        <v>63</v>
      </c>
      <c r="J17" s="6">
        <v>3.7</v>
      </c>
      <c r="K17" s="15" t="s">
        <v>64</v>
      </c>
      <c r="M17" s="6" t="str">
        <f t="shared" si="1"/>
        <v>AY3= "$100K - $500K",3.7,</v>
      </c>
    </row>
    <row r="18">
      <c r="C18" s="15" t="s">
        <v>58</v>
      </c>
      <c r="D18" s="15" t="s">
        <v>66</v>
      </c>
      <c r="E18" s="22" t="s">
        <v>60</v>
      </c>
      <c r="F18" s="23">
        <v>1000000.0</v>
      </c>
      <c r="G18" s="15" t="s">
        <v>61</v>
      </c>
      <c r="H18" s="24" t="s">
        <v>71</v>
      </c>
      <c r="I18" s="15" t="s">
        <v>63</v>
      </c>
      <c r="J18" s="6">
        <v>3.2</v>
      </c>
      <c r="K18" s="15" t="s">
        <v>64</v>
      </c>
      <c r="M18" s="6" t="str">
        <f t="shared" si="1"/>
        <v>AY3= "$500K - $1M",3.2,</v>
      </c>
    </row>
    <row r="19">
      <c r="C19" s="15" t="s">
        <v>58</v>
      </c>
      <c r="D19" s="15" t="s">
        <v>66</v>
      </c>
      <c r="E19" s="22" t="s">
        <v>60</v>
      </c>
      <c r="F19" s="23">
        <v>2000000.0</v>
      </c>
      <c r="G19" s="15" t="s">
        <v>61</v>
      </c>
      <c r="H19" s="24" t="s">
        <v>72</v>
      </c>
      <c r="I19" s="15" t="s">
        <v>63</v>
      </c>
      <c r="J19" s="6">
        <v>2.8</v>
      </c>
      <c r="K19" s="15" t="s">
        <v>64</v>
      </c>
      <c r="M19" s="6" t="str">
        <f t="shared" si="1"/>
        <v>AY3= "$1M - $2M",2.8,</v>
      </c>
    </row>
    <row r="20">
      <c r="C20" s="15" t="s">
        <v>58</v>
      </c>
      <c r="D20" s="15" t="s">
        <v>66</v>
      </c>
      <c r="E20" s="22" t="s">
        <v>60</v>
      </c>
      <c r="F20" s="23">
        <v>3000000.0</v>
      </c>
      <c r="G20" s="15" t="s">
        <v>61</v>
      </c>
      <c r="H20" s="24" t="s">
        <v>73</v>
      </c>
      <c r="I20" s="15" t="s">
        <v>63</v>
      </c>
      <c r="J20" s="6">
        <v>2.3</v>
      </c>
      <c r="K20" s="15" t="s">
        <v>64</v>
      </c>
      <c r="M20" s="6" t="str">
        <f t="shared" si="1"/>
        <v>AY3= "$2M - $3M",2.3,</v>
      </c>
    </row>
    <row r="21">
      <c r="C21" s="15" t="s">
        <v>58</v>
      </c>
      <c r="D21" s="15" t="s">
        <v>66</v>
      </c>
      <c r="E21" s="22" t="s">
        <v>60</v>
      </c>
      <c r="F21" s="23">
        <v>4000000.0</v>
      </c>
      <c r="G21" s="15" t="s">
        <v>61</v>
      </c>
      <c r="H21" s="24" t="s">
        <v>74</v>
      </c>
      <c r="I21" s="15" t="s">
        <v>63</v>
      </c>
      <c r="J21" s="6">
        <v>1.9</v>
      </c>
      <c r="K21" s="15" t="s">
        <v>64</v>
      </c>
      <c r="M21" s="6" t="str">
        <f t="shared" si="1"/>
        <v>AY3= "$3M - $4M",1.9,</v>
      </c>
    </row>
    <row r="22">
      <c r="C22" s="15" t="s">
        <v>58</v>
      </c>
      <c r="D22" s="15" t="s">
        <v>66</v>
      </c>
      <c r="E22" s="22" t="s">
        <v>60</v>
      </c>
      <c r="F22" s="23">
        <v>5000000.0</v>
      </c>
      <c r="G22" s="15" t="s">
        <v>61</v>
      </c>
      <c r="H22" s="24" t="s">
        <v>75</v>
      </c>
      <c r="I22" s="15" t="s">
        <v>63</v>
      </c>
      <c r="J22" s="6">
        <v>1.4</v>
      </c>
      <c r="K22" s="15" t="s">
        <v>64</v>
      </c>
      <c r="M22" s="6" t="str">
        <f t="shared" si="1"/>
        <v>AY3= "$4M - $5M",1.4,</v>
      </c>
    </row>
    <row r="23">
      <c r="C23" s="15" t="s">
        <v>58</v>
      </c>
      <c r="D23" s="15" t="s">
        <v>77</v>
      </c>
      <c r="E23" s="22" t="s">
        <v>60</v>
      </c>
      <c r="F23" s="23">
        <v>5000000.0</v>
      </c>
      <c r="G23" s="15" t="s">
        <v>61</v>
      </c>
      <c r="H23" s="31" t="s">
        <v>78</v>
      </c>
      <c r="I23" s="15" t="s">
        <v>63</v>
      </c>
      <c r="J23" s="6">
        <v>1.0</v>
      </c>
      <c r="M23" s="6" t="str">
        <f t="shared" si="1"/>
        <v>AY3= "&gt; $5M",1</v>
      </c>
    </row>
    <row r="24">
      <c r="F24" s="32"/>
      <c r="H24" s="24"/>
      <c r="J24" s="6"/>
      <c r="M24" s="6"/>
    </row>
    <row r="25">
      <c r="F25" s="32"/>
      <c r="H25" s="24"/>
      <c r="J25" s="6"/>
      <c r="M25" s="6"/>
    </row>
    <row r="26">
      <c r="F26" s="32"/>
      <c r="H26" s="24"/>
      <c r="J26" s="6"/>
      <c r="M26" s="6"/>
    </row>
    <row r="27">
      <c r="F27" s="32"/>
      <c r="H27" s="31"/>
      <c r="J27" s="6"/>
      <c r="M27" s="6"/>
    </row>
    <row r="28">
      <c r="F28" s="32"/>
      <c r="H28" s="31"/>
      <c r="J28" s="6"/>
      <c r="M28" s="6"/>
    </row>
    <row r="29">
      <c r="H29" s="31"/>
      <c r="J29" s="6"/>
      <c r="M29" s="6"/>
    </row>
    <row r="30">
      <c r="F30" s="32"/>
      <c r="H30" s="33"/>
      <c r="M30" s="6"/>
    </row>
    <row r="31">
      <c r="F31" s="32"/>
      <c r="H31" s="33"/>
      <c r="M31" s="6"/>
    </row>
    <row r="32">
      <c r="F32" s="32"/>
      <c r="H32" s="33"/>
      <c r="M32" s="6"/>
    </row>
    <row r="33">
      <c r="F33" s="32"/>
      <c r="H33" s="33"/>
      <c r="M33" s="6"/>
    </row>
    <row r="34">
      <c r="F34" s="32"/>
      <c r="H34" s="33"/>
      <c r="M34" s="6"/>
    </row>
    <row r="35">
      <c r="F35" s="32"/>
      <c r="H35" s="33"/>
      <c r="M35" s="6"/>
    </row>
    <row r="36">
      <c r="F36" s="32"/>
      <c r="H36" s="33"/>
      <c r="M36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</cols>
  <sheetData>
    <row r="1">
      <c r="A1" s="44"/>
    </row>
    <row r="2">
      <c r="A2" s="45"/>
    </row>
    <row r="3">
      <c r="A3" s="44">
        <v>1.0</v>
      </c>
      <c r="B3" s="46" t="s">
        <v>141</v>
      </c>
    </row>
    <row r="4">
      <c r="A4" s="44">
        <v>2.0</v>
      </c>
      <c r="B4" s="15" t="s">
        <v>144</v>
      </c>
    </row>
    <row r="5">
      <c r="A5" s="44">
        <v>3.0</v>
      </c>
      <c r="B5" s="15" t="s">
        <v>145</v>
      </c>
    </row>
    <row r="6">
      <c r="A6" s="44">
        <v>4.0</v>
      </c>
      <c r="B6" s="15" t="s">
        <v>147</v>
      </c>
    </row>
    <row r="7">
      <c r="A7" s="44">
        <v>5.0</v>
      </c>
      <c r="B7" s="15" t="s">
        <v>148</v>
      </c>
    </row>
    <row r="8">
      <c r="A8" s="44">
        <v>6.0</v>
      </c>
      <c r="B8" s="15" t="s">
        <v>150</v>
      </c>
    </row>
    <row r="9">
      <c r="A9" s="44">
        <v>7.0</v>
      </c>
      <c r="B9" s="15" t="s">
        <v>151</v>
      </c>
    </row>
    <row r="10">
      <c r="A10" s="44">
        <v>8.0</v>
      </c>
      <c r="B10" s="15" t="s">
        <v>152</v>
      </c>
    </row>
    <row r="11">
      <c r="A11" s="45"/>
    </row>
    <row r="12">
      <c r="A12" s="45"/>
    </row>
    <row r="13">
      <c r="A13" s="45"/>
    </row>
    <row r="14">
      <c r="A14" s="45"/>
    </row>
    <row r="15">
      <c r="A15" s="45"/>
    </row>
    <row r="16">
      <c r="A16" s="45"/>
    </row>
    <row r="17">
      <c r="A17" s="45"/>
      <c r="B17" s="15" t="s">
        <v>155</v>
      </c>
    </row>
    <row r="18">
      <c r="A18" s="45"/>
    </row>
    <row r="19">
      <c r="A19" s="45"/>
    </row>
    <row r="20">
      <c r="A20" s="45"/>
    </row>
    <row r="21">
      <c r="A21" s="45"/>
    </row>
    <row r="22">
      <c r="A22" s="45"/>
    </row>
    <row r="23">
      <c r="A23" s="45"/>
    </row>
    <row r="24">
      <c r="A24" s="45"/>
    </row>
    <row r="25">
      <c r="A25" s="45"/>
    </row>
    <row r="26">
      <c r="A26" s="45"/>
    </row>
    <row r="27">
      <c r="A27" s="45"/>
    </row>
    <row r="28">
      <c r="A28" s="45"/>
    </row>
    <row r="29">
      <c r="A29" s="45"/>
    </row>
    <row r="30">
      <c r="A30" s="45"/>
    </row>
    <row r="31">
      <c r="A31" s="45"/>
    </row>
    <row r="32">
      <c r="A32" s="45"/>
    </row>
    <row r="33">
      <c r="A33" s="45"/>
    </row>
    <row r="34">
      <c r="A34" s="45"/>
    </row>
    <row r="35">
      <c r="A35" s="45"/>
    </row>
    <row r="36">
      <c r="A36" s="45"/>
    </row>
    <row r="37">
      <c r="A37" s="45"/>
    </row>
    <row r="38">
      <c r="A38" s="45"/>
    </row>
    <row r="39">
      <c r="A39" s="45"/>
    </row>
    <row r="40">
      <c r="A40" s="45"/>
    </row>
    <row r="41">
      <c r="A41" s="45"/>
    </row>
    <row r="42">
      <c r="A42" s="45"/>
    </row>
    <row r="43">
      <c r="A43" s="45"/>
    </row>
    <row r="44">
      <c r="A44" s="45"/>
    </row>
    <row r="45">
      <c r="A45" s="45"/>
    </row>
    <row r="46">
      <c r="A46" s="45"/>
    </row>
    <row r="47">
      <c r="A47" s="45"/>
    </row>
    <row r="48">
      <c r="A48" s="45"/>
    </row>
    <row r="49">
      <c r="A49" s="45"/>
    </row>
    <row r="50">
      <c r="A50" s="45"/>
    </row>
    <row r="51">
      <c r="A51" s="45"/>
    </row>
    <row r="52">
      <c r="A52" s="45"/>
    </row>
    <row r="53">
      <c r="A53" s="45"/>
    </row>
    <row r="54">
      <c r="A54" s="45"/>
    </row>
    <row r="55">
      <c r="A55" s="45"/>
    </row>
    <row r="56">
      <c r="A56" s="45"/>
    </row>
    <row r="57">
      <c r="A57" s="45"/>
    </row>
    <row r="58">
      <c r="A58" s="45"/>
    </row>
    <row r="59">
      <c r="A59" s="45"/>
    </row>
    <row r="60">
      <c r="A60" s="45"/>
    </row>
    <row r="61">
      <c r="A61" s="45"/>
    </row>
    <row r="62">
      <c r="A62" s="45"/>
    </row>
    <row r="63">
      <c r="A63" s="45"/>
    </row>
    <row r="64">
      <c r="A64" s="45"/>
    </row>
    <row r="65">
      <c r="A65" s="45"/>
    </row>
    <row r="66">
      <c r="A66" s="45"/>
    </row>
    <row r="67">
      <c r="A67" s="45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  <row r="677">
      <c r="A677" s="45"/>
    </row>
    <row r="678">
      <c r="A678" s="45"/>
    </row>
    <row r="679">
      <c r="A679" s="45"/>
    </row>
    <row r="680">
      <c r="A680" s="45"/>
    </row>
    <row r="681">
      <c r="A681" s="45"/>
    </row>
    <row r="682">
      <c r="A682" s="45"/>
    </row>
    <row r="683">
      <c r="A683" s="45"/>
    </row>
    <row r="684">
      <c r="A684" s="45"/>
    </row>
    <row r="685">
      <c r="A685" s="45"/>
    </row>
    <row r="686">
      <c r="A686" s="45"/>
    </row>
    <row r="687">
      <c r="A687" s="45"/>
    </row>
    <row r="688">
      <c r="A688" s="45"/>
    </row>
    <row r="689">
      <c r="A689" s="45"/>
    </row>
    <row r="690">
      <c r="A690" s="45"/>
    </row>
    <row r="691">
      <c r="A691" s="45"/>
    </row>
    <row r="692">
      <c r="A692" s="45"/>
    </row>
    <row r="693">
      <c r="A693" s="45"/>
    </row>
    <row r="694">
      <c r="A694" s="45"/>
    </row>
    <row r="695">
      <c r="A695" s="45"/>
    </row>
    <row r="696">
      <c r="A696" s="45"/>
    </row>
    <row r="697">
      <c r="A697" s="45"/>
    </row>
    <row r="698">
      <c r="A698" s="45"/>
    </row>
    <row r="699">
      <c r="A699" s="45"/>
    </row>
    <row r="700">
      <c r="A700" s="45"/>
    </row>
    <row r="701">
      <c r="A701" s="45"/>
    </row>
    <row r="702">
      <c r="A702" s="45"/>
    </row>
    <row r="703">
      <c r="A703" s="45"/>
    </row>
    <row r="704">
      <c r="A704" s="45"/>
    </row>
    <row r="705">
      <c r="A705" s="45"/>
    </row>
    <row r="706">
      <c r="A706" s="45"/>
    </row>
    <row r="707">
      <c r="A707" s="45"/>
    </row>
    <row r="708">
      <c r="A708" s="45"/>
    </row>
    <row r="709">
      <c r="A709" s="45"/>
    </row>
    <row r="710">
      <c r="A710" s="45"/>
    </row>
    <row r="711">
      <c r="A711" s="45"/>
    </row>
    <row r="712">
      <c r="A712" s="45"/>
    </row>
    <row r="713">
      <c r="A713" s="45"/>
    </row>
    <row r="714">
      <c r="A714" s="45"/>
    </row>
    <row r="715">
      <c r="A715" s="45"/>
    </row>
    <row r="716">
      <c r="A716" s="45"/>
    </row>
    <row r="717">
      <c r="A717" s="45"/>
    </row>
    <row r="718">
      <c r="A718" s="45"/>
    </row>
    <row r="719">
      <c r="A719" s="45"/>
    </row>
    <row r="720">
      <c r="A720" s="45"/>
    </row>
    <row r="721">
      <c r="A721" s="45"/>
    </row>
    <row r="722">
      <c r="A722" s="45"/>
    </row>
    <row r="723">
      <c r="A723" s="45"/>
    </row>
    <row r="724">
      <c r="A724" s="45"/>
    </row>
    <row r="725">
      <c r="A725" s="45"/>
    </row>
    <row r="726">
      <c r="A726" s="45"/>
    </row>
    <row r="727">
      <c r="A727" s="45"/>
    </row>
    <row r="728">
      <c r="A728" s="45"/>
    </row>
    <row r="729">
      <c r="A729" s="45"/>
    </row>
    <row r="730">
      <c r="A730" s="45"/>
    </row>
    <row r="731">
      <c r="A731" s="45"/>
    </row>
    <row r="732">
      <c r="A732" s="45"/>
    </row>
    <row r="733">
      <c r="A733" s="45"/>
    </row>
    <row r="734">
      <c r="A734" s="45"/>
    </row>
    <row r="735">
      <c r="A735" s="45"/>
    </row>
    <row r="736">
      <c r="A736" s="45"/>
    </row>
    <row r="737">
      <c r="A737" s="45"/>
    </row>
    <row r="738">
      <c r="A738" s="45"/>
    </row>
    <row r="739">
      <c r="A739" s="45"/>
    </row>
    <row r="740">
      <c r="A740" s="45"/>
    </row>
    <row r="741">
      <c r="A741" s="45"/>
    </row>
    <row r="742">
      <c r="A742" s="45"/>
    </row>
    <row r="743">
      <c r="A743" s="45"/>
    </row>
    <row r="744">
      <c r="A744" s="45"/>
    </row>
    <row r="745">
      <c r="A745" s="45"/>
    </row>
    <row r="746">
      <c r="A746" s="45"/>
    </row>
    <row r="747">
      <c r="A747" s="45"/>
    </row>
    <row r="748">
      <c r="A748" s="45"/>
    </row>
    <row r="749">
      <c r="A749" s="45"/>
    </row>
    <row r="750">
      <c r="A750" s="45"/>
    </row>
    <row r="751">
      <c r="A751" s="45"/>
    </row>
    <row r="752">
      <c r="A752" s="45"/>
    </row>
    <row r="753">
      <c r="A753" s="45"/>
    </row>
    <row r="754">
      <c r="A754" s="45"/>
    </row>
    <row r="755">
      <c r="A755" s="45"/>
    </row>
    <row r="756">
      <c r="A756" s="45"/>
    </row>
    <row r="757">
      <c r="A757" s="45"/>
    </row>
    <row r="758">
      <c r="A758" s="45"/>
    </row>
    <row r="759">
      <c r="A759" s="45"/>
    </row>
    <row r="760">
      <c r="A760" s="45"/>
    </row>
    <row r="761">
      <c r="A761" s="45"/>
    </row>
    <row r="762">
      <c r="A762" s="45"/>
    </row>
    <row r="763">
      <c r="A763" s="45"/>
    </row>
    <row r="764">
      <c r="A764" s="45"/>
    </row>
    <row r="765">
      <c r="A765" s="45"/>
    </row>
    <row r="766">
      <c r="A766" s="45"/>
    </row>
    <row r="767">
      <c r="A767" s="45"/>
    </row>
    <row r="768">
      <c r="A768" s="45"/>
    </row>
    <row r="769">
      <c r="A769" s="45"/>
    </row>
    <row r="770">
      <c r="A770" s="45"/>
    </row>
    <row r="771">
      <c r="A771" s="45"/>
    </row>
    <row r="772">
      <c r="A772" s="45"/>
    </row>
    <row r="773">
      <c r="A773" s="45"/>
    </row>
    <row r="774">
      <c r="A774" s="45"/>
    </row>
    <row r="775">
      <c r="A775" s="45"/>
    </row>
    <row r="776">
      <c r="A776" s="45"/>
    </row>
    <row r="777">
      <c r="A777" s="45"/>
    </row>
    <row r="778">
      <c r="A778" s="45"/>
    </row>
    <row r="779">
      <c r="A779" s="45"/>
    </row>
    <row r="780">
      <c r="A780" s="45"/>
    </row>
    <row r="781">
      <c r="A781" s="45"/>
    </row>
    <row r="782">
      <c r="A782" s="45"/>
    </row>
    <row r="783">
      <c r="A783" s="45"/>
    </row>
    <row r="784">
      <c r="A784" s="45"/>
    </row>
    <row r="785">
      <c r="A785" s="45"/>
    </row>
    <row r="786">
      <c r="A786" s="45"/>
    </row>
    <row r="787">
      <c r="A787" s="45"/>
    </row>
    <row r="788">
      <c r="A788" s="45"/>
    </row>
    <row r="789">
      <c r="A789" s="45"/>
    </row>
    <row r="790">
      <c r="A790" s="45"/>
    </row>
    <row r="791">
      <c r="A791" s="45"/>
    </row>
    <row r="792">
      <c r="A792" s="45"/>
    </row>
    <row r="793">
      <c r="A793" s="45"/>
    </row>
    <row r="794">
      <c r="A794" s="45"/>
    </row>
    <row r="795">
      <c r="A795" s="45"/>
    </row>
    <row r="796">
      <c r="A796" s="45"/>
    </row>
    <row r="797">
      <c r="A797" s="45"/>
    </row>
    <row r="798">
      <c r="A798" s="45"/>
    </row>
    <row r="799">
      <c r="A799" s="45"/>
    </row>
    <row r="800">
      <c r="A800" s="45"/>
    </row>
    <row r="801">
      <c r="A801" s="45"/>
    </row>
    <row r="802">
      <c r="A802" s="45"/>
    </row>
    <row r="803">
      <c r="A803" s="45"/>
    </row>
    <row r="804">
      <c r="A804" s="45"/>
    </row>
    <row r="805">
      <c r="A805" s="45"/>
    </row>
    <row r="806">
      <c r="A806" s="45"/>
    </row>
    <row r="807">
      <c r="A807" s="45"/>
    </row>
    <row r="808">
      <c r="A808" s="45"/>
    </row>
    <row r="809">
      <c r="A809" s="45"/>
    </row>
    <row r="810">
      <c r="A810" s="45"/>
    </row>
    <row r="811">
      <c r="A811" s="45"/>
    </row>
    <row r="812">
      <c r="A812" s="45"/>
    </row>
    <row r="813">
      <c r="A813" s="45"/>
    </row>
    <row r="814">
      <c r="A814" s="45"/>
    </row>
    <row r="815">
      <c r="A815" s="45"/>
    </row>
    <row r="816">
      <c r="A816" s="45"/>
    </row>
    <row r="817">
      <c r="A817" s="45"/>
    </row>
    <row r="818">
      <c r="A818" s="45"/>
    </row>
    <row r="819">
      <c r="A819" s="45"/>
    </row>
    <row r="820">
      <c r="A820" s="45"/>
    </row>
    <row r="821">
      <c r="A821" s="45"/>
    </row>
    <row r="822">
      <c r="A822" s="45"/>
    </row>
    <row r="823">
      <c r="A823" s="45"/>
    </row>
    <row r="824">
      <c r="A824" s="45"/>
    </row>
    <row r="825">
      <c r="A825" s="45"/>
    </row>
    <row r="826">
      <c r="A826" s="45"/>
    </row>
    <row r="827">
      <c r="A827" s="45"/>
    </row>
    <row r="828">
      <c r="A828" s="45"/>
    </row>
    <row r="829">
      <c r="A829" s="45"/>
    </row>
    <row r="830">
      <c r="A830" s="45"/>
    </row>
    <row r="831">
      <c r="A831" s="45"/>
    </row>
    <row r="832">
      <c r="A832" s="45"/>
    </row>
    <row r="833">
      <c r="A833" s="45"/>
    </row>
    <row r="834">
      <c r="A834" s="45"/>
    </row>
    <row r="835">
      <c r="A835" s="45"/>
    </row>
    <row r="836">
      <c r="A836" s="45"/>
    </row>
    <row r="837">
      <c r="A837" s="45"/>
    </row>
    <row r="838">
      <c r="A838" s="45"/>
    </row>
    <row r="839">
      <c r="A839" s="45"/>
    </row>
    <row r="840">
      <c r="A840" s="45"/>
    </row>
    <row r="841">
      <c r="A841" s="45"/>
    </row>
    <row r="842">
      <c r="A842" s="45"/>
    </row>
    <row r="843">
      <c r="A843" s="45"/>
    </row>
    <row r="844">
      <c r="A844" s="45"/>
    </row>
    <row r="845">
      <c r="A845" s="45"/>
    </row>
    <row r="846">
      <c r="A846" s="45"/>
    </row>
    <row r="847">
      <c r="A847" s="45"/>
    </row>
    <row r="848">
      <c r="A848" s="45"/>
    </row>
    <row r="849">
      <c r="A849" s="45"/>
    </row>
    <row r="850">
      <c r="A850" s="45"/>
    </row>
    <row r="851">
      <c r="A851" s="45"/>
    </row>
    <row r="852">
      <c r="A852" s="45"/>
    </row>
    <row r="853">
      <c r="A853" s="45"/>
    </row>
    <row r="854">
      <c r="A854" s="45"/>
    </row>
    <row r="855">
      <c r="A855" s="45"/>
    </row>
    <row r="856">
      <c r="A856" s="45"/>
    </row>
    <row r="857">
      <c r="A857" s="45"/>
    </row>
    <row r="858">
      <c r="A858" s="45"/>
    </row>
    <row r="859">
      <c r="A859" s="45"/>
    </row>
    <row r="860">
      <c r="A860" s="45"/>
    </row>
    <row r="861">
      <c r="A861" s="45"/>
    </row>
    <row r="862">
      <c r="A862" s="45"/>
    </row>
    <row r="863">
      <c r="A863" s="45"/>
    </row>
    <row r="864">
      <c r="A864" s="45"/>
    </row>
    <row r="865">
      <c r="A865" s="45"/>
    </row>
    <row r="866">
      <c r="A866" s="45"/>
    </row>
    <row r="867">
      <c r="A867" s="45"/>
    </row>
    <row r="868">
      <c r="A868" s="45"/>
    </row>
    <row r="869">
      <c r="A869" s="45"/>
    </row>
    <row r="870">
      <c r="A870" s="45"/>
    </row>
    <row r="871">
      <c r="A871" s="45"/>
    </row>
    <row r="872">
      <c r="A872" s="45"/>
    </row>
    <row r="873">
      <c r="A873" s="45"/>
    </row>
    <row r="874">
      <c r="A874" s="45"/>
    </row>
    <row r="875">
      <c r="A875" s="45"/>
    </row>
    <row r="876">
      <c r="A876" s="45"/>
    </row>
    <row r="877">
      <c r="A877" s="45"/>
    </row>
    <row r="878">
      <c r="A878" s="45"/>
    </row>
    <row r="879">
      <c r="A879" s="45"/>
    </row>
    <row r="880">
      <c r="A880" s="45"/>
    </row>
    <row r="881">
      <c r="A881" s="45"/>
    </row>
    <row r="882">
      <c r="A882" s="45"/>
    </row>
    <row r="883">
      <c r="A883" s="45"/>
    </row>
    <row r="884">
      <c r="A884" s="45"/>
    </row>
    <row r="885">
      <c r="A885" s="45"/>
    </row>
    <row r="886">
      <c r="A886" s="45"/>
    </row>
    <row r="887">
      <c r="A887" s="45"/>
    </row>
    <row r="888">
      <c r="A888" s="45"/>
    </row>
    <row r="889">
      <c r="A889" s="45"/>
    </row>
    <row r="890">
      <c r="A890" s="45"/>
    </row>
    <row r="891">
      <c r="A891" s="45"/>
    </row>
    <row r="892">
      <c r="A892" s="45"/>
    </row>
    <row r="893">
      <c r="A893" s="45"/>
    </row>
    <row r="894">
      <c r="A894" s="45"/>
    </row>
    <row r="895">
      <c r="A895" s="45"/>
    </row>
    <row r="896">
      <c r="A896" s="45"/>
    </row>
    <row r="897">
      <c r="A897" s="45"/>
    </row>
    <row r="898">
      <c r="A898" s="45"/>
    </row>
    <row r="899">
      <c r="A899" s="45"/>
    </row>
    <row r="900">
      <c r="A900" s="45"/>
    </row>
    <row r="901">
      <c r="A901" s="45"/>
    </row>
    <row r="902">
      <c r="A902" s="45"/>
    </row>
    <row r="903">
      <c r="A903" s="45"/>
    </row>
    <row r="904">
      <c r="A904" s="45"/>
    </row>
    <row r="905">
      <c r="A905" s="45"/>
    </row>
    <row r="906">
      <c r="A906" s="45"/>
    </row>
    <row r="907">
      <c r="A907" s="45"/>
    </row>
    <row r="908">
      <c r="A908" s="45"/>
    </row>
    <row r="909">
      <c r="A909" s="45"/>
    </row>
    <row r="910">
      <c r="A910" s="45"/>
    </row>
    <row r="911">
      <c r="A911" s="45"/>
    </row>
    <row r="912">
      <c r="A912" s="45"/>
    </row>
    <row r="913">
      <c r="A913" s="45"/>
    </row>
    <row r="914">
      <c r="A914" s="45"/>
    </row>
    <row r="915">
      <c r="A915" s="45"/>
    </row>
    <row r="916">
      <c r="A916" s="45"/>
    </row>
    <row r="917">
      <c r="A917" s="45"/>
    </row>
    <row r="918">
      <c r="A918" s="45"/>
    </row>
    <row r="919">
      <c r="A919" s="45"/>
    </row>
    <row r="920">
      <c r="A920" s="45"/>
    </row>
    <row r="921">
      <c r="A921" s="45"/>
    </row>
    <row r="922">
      <c r="A922" s="45"/>
    </row>
    <row r="923">
      <c r="A923" s="45"/>
    </row>
    <row r="924">
      <c r="A924" s="45"/>
    </row>
    <row r="925">
      <c r="A925" s="45"/>
    </row>
    <row r="926">
      <c r="A926" s="45"/>
    </row>
    <row r="927">
      <c r="A927" s="45"/>
    </row>
    <row r="928">
      <c r="A928" s="45"/>
    </row>
    <row r="929">
      <c r="A929" s="45"/>
    </row>
    <row r="930">
      <c r="A930" s="45"/>
    </row>
    <row r="931">
      <c r="A931" s="45"/>
    </row>
    <row r="932">
      <c r="A932" s="45"/>
    </row>
    <row r="933">
      <c r="A933" s="45"/>
    </row>
    <row r="934">
      <c r="A934" s="45"/>
    </row>
    <row r="935">
      <c r="A935" s="45"/>
    </row>
    <row r="936">
      <c r="A936" s="45"/>
    </row>
    <row r="937">
      <c r="A937" s="45"/>
    </row>
    <row r="938">
      <c r="A938" s="45"/>
    </row>
    <row r="939">
      <c r="A939" s="45"/>
    </row>
    <row r="940">
      <c r="A940" s="45"/>
    </row>
    <row r="941">
      <c r="A941" s="45"/>
    </row>
    <row r="942">
      <c r="A942" s="45"/>
    </row>
    <row r="943">
      <c r="A943" s="45"/>
    </row>
    <row r="944">
      <c r="A944" s="45"/>
    </row>
    <row r="945">
      <c r="A945" s="45"/>
    </row>
    <row r="946">
      <c r="A946" s="45"/>
    </row>
    <row r="947">
      <c r="A947" s="45"/>
    </row>
    <row r="948">
      <c r="A948" s="45"/>
    </row>
    <row r="949">
      <c r="A949" s="45"/>
    </row>
    <row r="950">
      <c r="A950" s="45"/>
    </row>
    <row r="951">
      <c r="A951" s="45"/>
    </row>
    <row r="952">
      <c r="A952" s="45"/>
    </row>
    <row r="953">
      <c r="A953" s="45"/>
    </row>
    <row r="954">
      <c r="A954" s="45"/>
    </row>
    <row r="955">
      <c r="A955" s="45"/>
    </row>
    <row r="956">
      <c r="A956" s="45"/>
    </row>
    <row r="957">
      <c r="A957" s="45"/>
    </row>
    <row r="958">
      <c r="A958" s="45"/>
    </row>
    <row r="959">
      <c r="A959" s="45"/>
    </row>
    <row r="960">
      <c r="A960" s="45"/>
    </row>
    <row r="961">
      <c r="A961" s="45"/>
    </row>
    <row r="962">
      <c r="A962" s="45"/>
    </row>
    <row r="963">
      <c r="A963" s="45"/>
    </row>
    <row r="964">
      <c r="A964" s="45"/>
    </row>
    <row r="965">
      <c r="A965" s="45"/>
    </row>
    <row r="966">
      <c r="A966" s="45"/>
    </row>
    <row r="967">
      <c r="A967" s="45"/>
    </row>
    <row r="968">
      <c r="A968" s="45"/>
    </row>
    <row r="969">
      <c r="A969" s="45"/>
    </row>
    <row r="970">
      <c r="A970" s="45"/>
    </row>
    <row r="971">
      <c r="A971" s="45"/>
    </row>
    <row r="972">
      <c r="A972" s="45"/>
    </row>
    <row r="973">
      <c r="A973" s="45"/>
    </row>
    <row r="974">
      <c r="A974" s="45"/>
    </row>
    <row r="975">
      <c r="A975" s="45"/>
    </row>
    <row r="976">
      <c r="A976" s="45"/>
    </row>
    <row r="977">
      <c r="A977" s="45"/>
    </row>
    <row r="978">
      <c r="A978" s="45"/>
    </row>
    <row r="979">
      <c r="A979" s="45"/>
    </row>
    <row r="980">
      <c r="A980" s="45"/>
    </row>
    <row r="981">
      <c r="A981" s="45"/>
    </row>
    <row r="982">
      <c r="A982" s="45"/>
    </row>
    <row r="983">
      <c r="A983" s="45"/>
    </row>
    <row r="984">
      <c r="A984" s="45"/>
    </row>
    <row r="985">
      <c r="A985" s="45"/>
    </row>
    <row r="986">
      <c r="A986" s="45"/>
    </row>
    <row r="987">
      <c r="A987" s="45"/>
    </row>
    <row r="988">
      <c r="A988" s="45"/>
    </row>
    <row r="989">
      <c r="A989" s="45"/>
    </row>
    <row r="990">
      <c r="A990" s="45"/>
    </row>
    <row r="991">
      <c r="A991" s="45"/>
    </row>
    <row r="992">
      <c r="A992" s="45"/>
    </row>
    <row r="993">
      <c r="A993" s="45"/>
    </row>
    <row r="994">
      <c r="A994" s="45"/>
    </row>
    <row r="995">
      <c r="A995" s="45"/>
    </row>
    <row r="996">
      <c r="A996" s="45"/>
    </row>
    <row r="997">
      <c r="A997" s="45"/>
    </row>
    <row r="998">
      <c r="A998" s="45"/>
    </row>
    <row r="999">
      <c r="A999" s="45"/>
    </row>
    <row r="1000">
      <c r="A1000" s="4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</cols>
  <sheetData>
    <row r="1">
      <c r="A1" s="24" t="s">
        <v>537</v>
      </c>
    </row>
    <row r="2">
      <c r="A2" s="6">
        <f>'Data Entries'!GL3</f>
        <v>2.704354419</v>
      </c>
    </row>
    <row r="3">
      <c r="A3" s="6">
        <f>'Data Entries'!GL4</f>
        <v>2.960664235</v>
      </c>
    </row>
    <row r="4">
      <c r="A4" s="6">
        <f>'Data Entries'!GL5</f>
        <v>3.113661616</v>
      </c>
    </row>
    <row r="5">
      <c r="A5" s="6">
        <f>'Data Entries'!GL6</f>
        <v>2.54388952</v>
      </c>
    </row>
    <row r="6">
      <c r="A6" s="6">
        <f>'Data Entries'!GL7</f>
        <v>3.543137825</v>
      </c>
    </row>
    <row r="7">
      <c r="A7" s="6">
        <f>'Data Entries'!GL8</f>
        <v>2.568839284</v>
      </c>
    </row>
    <row r="8">
      <c r="A8" s="6">
        <f>'Data Entries'!GL9</f>
        <v>1.738311729</v>
      </c>
    </row>
    <row r="9">
      <c r="A9" s="6">
        <f>'Data Entries'!GL10</f>
        <v>3.226292753</v>
      </c>
    </row>
    <row r="10">
      <c r="A10" s="6">
        <f>'Data Entries'!GL11</f>
        <v>1.627793169</v>
      </c>
    </row>
    <row r="11">
      <c r="A11" s="6">
        <f>'Data Entries'!GL12</f>
        <v>2.397064943</v>
      </c>
    </row>
    <row r="12">
      <c r="A12" s="6">
        <f>'Data Entries'!GL13</f>
        <v>4.099948345</v>
      </c>
    </row>
    <row r="13">
      <c r="A13" s="6">
        <f>'Data Entries'!GL14</f>
        <v>2.613586643</v>
      </c>
    </row>
    <row r="14">
      <c r="A14" s="6">
        <f>'Data Entries'!GL15</f>
        <v>3.785065796</v>
      </c>
    </row>
    <row r="15">
      <c r="A15" s="6">
        <f>'Data Entries'!GL16</f>
        <v>2.915703169</v>
      </c>
    </row>
    <row r="16">
      <c r="A16" s="6">
        <f>'Data Entries'!GL17</f>
        <v>3.570690579</v>
      </c>
    </row>
    <row r="17">
      <c r="A17" s="6">
        <f>'Data Entries'!GL18</f>
        <v>2.818733716</v>
      </c>
    </row>
    <row r="18">
      <c r="A18" s="6">
        <f>'Data Entries'!GL19</f>
        <v>2.567878584</v>
      </c>
    </row>
    <row r="19">
      <c r="A19" s="6">
        <f>'Data Entries'!GL20</f>
        <v>3.646421825</v>
      </c>
    </row>
    <row r="20">
      <c r="A20" s="6">
        <f>'Data Entries'!GL21</f>
        <v>3.647181722</v>
      </c>
    </row>
    <row r="21">
      <c r="A21" s="6">
        <f>'Data Entries'!GL22</f>
        <v>1.743001485</v>
      </c>
    </row>
    <row r="22">
      <c r="A22" s="6">
        <f>'Data Entries'!GL23</f>
        <v>4.287820535</v>
      </c>
    </row>
    <row r="23">
      <c r="A23" s="6">
        <f>'Data Entries'!GL24</f>
        <v>2.722471226</v>
      </c>
    </row>
    <row r="24">
      <c r="A24" s="6">
        <f>'Data Entries'!GL25</f>
        <v>2.866764559</v>
      </c>
    </row>
    <row r="25">
      <c r="A25" s="6">
        <f>'Data Entries'!GL26</f>
        <v>2.921789789</v>
      </c>
    </row>
    <row r="26">
      <c r="A26" s="6">
        <f>'Data Entries'!GL27</f>
        <v>3.334242885</v>
      </c>
    </row>
    <row r="27">
      <c r="A27" s="6">
        <f>'Data Entries'!GL28</f>
        <v>3.686127695</v>
      </c>
    </row>
    <row r="28">
      <c r="A28" s="6">
        <f>'Data Entries'!GL29</f>
        <v>2.69707436</v>
      </c>
    </row>
    <row r="29">
      <c r="A29" s="6">
        <f>'Data Entries'!GL30</f>
        <v>2.115811488</v>
      </c>
    </row>
    <row r="30">
      <c r="A30" s="6">
        <f>'Data Entries'!GL31</f>
        <v>3.093033252</v>
      </c>
    </row>
    <row r="31">
      <c r="A31" s="6">
        <f>'Data Entries'!GL32</f>
        <v>3.12101342</v>
      </c>
    </row>
    <row r="32">
      <c r="A32" s="6">
        <f>'Data Entries'!GL33</f>
        <v>3.405101072</v>
      </c>
    </row>
    <row r="33">
      <c r="A33" s="6">
        <f>'Data Entries'!GL34</f>
        <v>2.860043378</v>
      </c>
    </row>
    <row r="34">
      <c r="A34" s="6">
        <f>'Data Entries'!GL35</f>
        <v>2.421775626</v>
      </c>
    </row>
    <row r="35">
      <c r="A35" s="6">
        <f>'Data Entries'!GL36</f>
        <v>2.885378778</v>
      </c>
    </row>
    <row r="36">
      <c r="A36" s="6">
        <f>'Data Entries'!GL37</f>
        <v>2.535450147</v>
      </c>
    </row>
    <row r="37">
      <c r="A37" s="6">
        <f>'Data Entries'!GL38</f>
        <v>2.436164908</v>
      </c>
    </row>
    <row r="38">
      <c r="A38" s="6">
        <f>'Data Entries'!GL39</f>
        <v>1.120278459</v>
      </c>
    </row>
    <row r="39">
      <c r="A39" s="6">
        <f>'Data Entries'!GL40</f>
        <v>2.75363426</v>
      </c>
    </row>
    <row r="40">
      <c r="A40" s="6">
        <f>'Data Entries'!GL41</f>
        <v>3.965178672</v>
      </c>
    </row>
    <row r="41">
      <c r="A41" s="6">
        <f>'Data Entries'!GL42</f>
        <v>2.629600059</v>
      </c>
    </row>
    <row r="42">
      <c r="A42" s="6">
        <f>'Data Entries'!GL43</f>
        <v>2.204984659</v>
      </c>
    </row>
    <row r="43">
      <c r="A43" s="6">
        <f>'Data Entries'!GL44</f>
        <v>2.984113671</v>
      </c>
    </row>
    <row r="44">
      <c r="A44" s="6">
        <f>'Data Entries'!GL45</f>
        <v>3.24578302</v>
      </c>
    </row>
    <row r="45">
      <c r="A45" s="6">
        <f>'Data Entries'!GL46</f>
        <v>2.569912853</v>
      </c>
    </row>
    <row r="46">
      <c r="A46" s="6">
        <f>'Data Entries'!GL47</f>
        <v>3.165614662</v>
      </c>
    </row>
    <row r="47">
      <c r="A47" s="6">
        <f>'Data Entries'!GL48</f>
        <v>2.673321971</v>
      </c>
    </row>
    <row r="48">
      <c r="A48" s="6">
        <f>'Data Entries'!GL49</f>
        <v>2.135468652</v>
      </c>
    </row>
    <row r="49">
      <c r="A49" s="6">
        <f>'Data Entries'!GL50</f>
        <v>3.606660394</v>
      </c>
    </row>
    <row r="50">
      <c r="A50" s="6">
        <f>'Data Entries'!GL51</f>
        <v>3.962299197</v>
      </c>
    </row>
    <row r="51">
      <c r="A51" s="6">
        <f>'Data Entries'!GL52</f>
        <v>2.420904609</v>
      </c>
    </row>
    <row r="52">
      <c r="A52" s="6">
        <f>'Data Entries'!GL53</f>
        <v>2.731245707</v>
      </c>
    </row>
    <row r="53">
      <c r="A53" s="6">
        <f>'Data Entries'!GL54</f>
        <v>2.560173298</v>
      </c>
    </row>
    <row r="54">
      <c r="A54" s="6">
        <f>'Data Entries'!GL55</f>
        <v>4.46894114</v>
      </c>
    </row>
    <row r="55">
      <c r="A55" s="6">
        <f>'Data Entries'!GL56</f>
        <v>2.358942959</v>
      </c>
    </row>
    <row r="56">
      <c r="A56" s="6">
        <f>'Data Entries'!GL57</f>
        <v>3.65713258</v>
      </c>
    </row>
    <row r="57">
      <c r="A57" s="6">
        <f>'Data Entries'!GL58</f>
        <v>3.381563047</v>
      </c>
    </row>
    <row r="58">
      <c r="A58" s="6">
        <f>'Data Entries'!GL59</f>
        <v>2.741909652</v>
      </c>
    </row>
    <row r="59">
      <c r="A59" s="6">
        <f>'Data Entries'!GL60</f>
        <v>3.600137608</v>
      </c>
    </row>
    <row r="60">
      <c r="A60" s="6">
        <f>'Data Entries'!GL61</f>
        <v>2.828376589</v>
      </c>
    </row>
    <row r="61">
      <c r="A61" s="6">
        <f>'Data Entries'!GL62</f>
        <v>2.024271346</v>
      </c>
    </row>
    <row r="62">
      <c r="A62" s="6">
        <f>'Data Entries'!GL63</f>
        <v>2.939055266</v>
      </c>
    </row>
    <row r="63">
      <c r="A63" s="6">
        <f>'Data Entries'!GL64</f>
        <v>4.194342369</v>
      </c>
    </row>
    <row r="64">
      <c r="A64" s="6">
        <f>'Data Entries'!GL65</f>
        <v>2.844261168</v>
      </c>
    </row>
    <row r="65">
      <c r="A65" s="6">
        <f>'Data Entries'!GL66</f>
        <v>1.710810817</v>
      </c>
    </row>
    <row r="66">
      <c r="A66" s="6">
        <f>'Data Entries'!GL67</f>
        <v>2.941201092</v>
      </c>
    </row>
    <row r="67">
      <c r="A67" s="6">
        <f>'Data Entries'!GL68</f>
        <v>3.1970614</v>
      </c>
    </row>
    <row r="68">
      <c r="A68" s="6">
        <f>'Data Entries'!GL69</f>
        <v>3.106537955</v>
      </c>
    </row>
    <row r="69">
      <c r="A69" s="6">
        <f>'Data Entries'!GL70</f>
        <v>4.554286823</v>
      </c>
    </row>
    <row r="70">
      <c r="A70" s="6">
        <f>'Data Entries'!GL71</f>
        <v>3.548170563</v>
      </c>
    </row>
    <row r="71">
      <c r="A71" s="6">
        <f>'Data Entries'!GL72</f>
        <v>2.132793042</v>
      </c>
    </row>
    <row r="72">
      <c r="A72" s="6">
        <f>'Data Entries'!GL73</f>
        <v>3.46205667</v>
      </c>
    </row>
    <row r="73">
      <c r="A73" s="6">
        <f>'Data Entries'!GL74</f>
        <v>2.744928244</v>
      </c>
    </row>
    <row r="74">
      <c r="A74" s="6">
        <f>'Data Entries'!GL75</f>
        <v>3.997274189</v>
      </c>
    </row>
    <row r="75">
      <c r="A75" s="6">
        <f>'Data Entries'!GL76</f>
        <v>4.040702991</v>
      </c>
    </row>
    <row r="76">
      <c r="A76" s="6">
        <f>'Data Entries'!GL77</f>
        <v>3.102623628</v>
      </c>
    </row>
    <row r="77">
      <c r="A77" s="6">
        <f>'Data Entries'!GL78</f>
        <v>3.291502234</v>
      </c>
    </row>
    <row r="78">
      <c r="A78" s="6">
        <f>'Data Entries'!GL79</f>
        <v>2.690891494</v>
      </c>
    </row>
    <row r="79">
      <c r="A79" s="6">
        <f>'Data Entries'!GL80</f>
        <v>2.850401817</v>
      </c>
    </row>
    <row r="80">
      <c r="A80" s="6">
        <f>'Data Entries'!GL81</f>
        <v>3.777899044</v>
      </c>
    </row>
    <row r="81">
      <c r="A81" s="6">
        <f>'Data Entries'!GL82</f>
        <v>3.748262587</v>
      </c>
    </row>
    <row r="82">
      <c r="A82" s="6">
        <f>'Data Entries'!GL83</f>
        <v>3.34148882</v>
      </c>
    </row>
    <row r="83">
      <c r="A83" s="6">
        <f>'Data Entries'!GL84</f>
        <v>3.645808263</v>
      </c>
    </row>
    <row r="84">
      <c r="A84" s="6">
        <f>'Data Entries'!GL85</f>
        <v>2.563712489</v>
      </c>
    </row>
    <row r="85">
      <c r="A85" s="6">
        <f>'Data Entries'!GL86</f>
        <v>3.117001317</v>
      </c>
    </row>
    <row r="86">
      <c r="A86" s="6">
        <f>'Data Entries'!GL87</f>
        <v>3.144704125</v>
      </c>
    </row>
    <row r="87">
      <c r="A87" s="6">
        <f>'Data Entries'!GL88</f>
        <v>2.172966576</v>
      </c>
    </row>
    <row r="88">
      <c r="A88" s="6">
        <f>'Data Entries'!GL89</f>
        <v>2.566662616</v>
      </c>
    </row>
    <row r="89">
      <c r="A89" s="6">
        <f>'Data Entries'!GL90</f>
        <v>4.094451881</v>
      </c>
    </row>
    <row r="90">
      <c r="A90" s="6">
        <f>'Data Entries'!GL91</f>
        <v>2.516798743</v>
      </c>
    </row>
    <row r="91">
      <c r="A91" s="6">
        <f>'Data Entries'!GL92</f>
        <v>3.096738684</v>
      </c>
    </row>
    <row r="92">
      <c r="A92" s="6">
        <f>'Data Entries'!GL93</f>
        <v>3.934176848</v>
      </c>
    </row>
    <row r="93">
      <c r="A93" s="6">
        <f>'Data Entries'!GL94</f>
        <v>3.345640042</v>
      </c>
    </row>
    <row r="94">
      <c r="A94" s="6">
        <f>'Data Entries'!GL95</f>
        <v>2.465031843</v>
      </c>
    </row>
    <row r="95">
      <c r="A95" s="6">
        <f>'Data Entries'!GL96</f>
        <v>2.658012456</v>
      </c>
    </row>
    <row r="96">
      <c r="A96" s="6">
        <f>'Data Entries'!GL97</f>
        <v>3.573857476</v>
      </c>
    </row>
    <row r="97">
      <c r="A97" s="6">
        <f>'Data Entries'!GL98</f>
        <v>3.601638155</v>
      </c>
    </row>
    <row r="98">
      <c r="A98" s="6">
        <f>'Data Entries'!GL99</f>
        <v>3.387519081</v>
      </c>
    </row>
    <row r="99">
      <c r="A99" s="6">
        <f>'Data Entries'!GL100</f>
        <v>3.818121138</v>
      </c>
    </row>
    <row r="100">
      <c r="A100" s="6">
        <f>'Data Entries'!GL101</f>
        <v>4.325981893</v>
      </c>
    </row>
    <row r="101">
      <c r="A101" s="6">
        <f>'Data Entries'!GL102</f>
        <v>2.285287324</v>
      </c>
    </row>
    <row r="102">
      <c r="A102" s="6">
        <f>'Data Entries'!GL103</f>
        <v>1.783319606</v>
      </c>
    </row>
    <row r="103">
      <c r="A103" s="6">
        <f>'Data Entries'!GL104</f>
        <v>3.058987461</v>
      </c>
    </row>
    <row r="104">
      <c r="A104" s="6">
        <f>'Data Entries'!GL105</f>
        <v>2.517207784</v>
      </c>
    </row>
    <row r="105">
      <c r="A105" s="6">
        <f>'Data Entries'!GL106</f>
        <v>2.800408669</v>
      </c>
    </row>
    <row r="106">
      <c r="A106" s="6">
        <f>'Data Entries'!GL107</f>
        <v>3.051825521</v>
      </c>
    </row>
    <row r="107">
      <c r="A107" s="6">
        <f>'Data Entries'!GL108</f>
        <v>2.750947712</v>
      </c>
    </row>
    <row r="108">
      <c r="A108" s="6">
        <f>'Data Entries'!GL109</f>
        <v>4.333152582</v>
      </c>
    </row>
    <row r="109">
      <c r="A109" s="6">
        <f>'Data Entries'!GL110</f>
        <v>1.641906403</v>
      </c>
    </row>
    <row r="110">
      <c r="A110" s="6">
        <f>'Data Entries'!GL111</f>
        <v>2.902922709</v>
      </c>
    </row>
    <row r="111">
      <c r="A111" s="6">
        <f>'Data Entries'!GL112</f>
        <v>3.789867546</v>
      </c>
    </row>
    <row r="112">
      <c r="A112" s="6">
        <f>'Data Entries'!GL113</f>
        <v>3.296637342</v>
      </c>
    </row>
    <row r="113">
      <c r="A113" s="6">
        <f>'Data Entries'!GL114</f>
        <v>2.631803632</v>
      </c>
    </row>
    <row r="114">
      <c r="A114" s="6">
        <f>'Data Entries'!GL115</f>
        <v>1.703274397</v>
      </c>
    </row>
    <row r="115">
      <c r="A115" s="6">
        <f>'Data Entries'!GL116</f>
        <v>3.610099621</v>
      </c>
    </row>
    <row r="116">
      <c r="A116" s="6">
        <f>'Data Entries'!GL117</f>
        <v>4.545493968</v>
      </c>
    </row>
    <row r="117">
      <c r="A117" s="6">
        <f>'Data Entries'!GL118</f>
        <v>2.489154994</v>
      </c>
    </row>
    <row r="118">
      <c r="A118" s="6">
        <f>'Data Entries'!GL119</f>
        <v>3.148956404</v>
      </c>
    </row>
    <row r="119">
      <c r="A119" s="6">
        <f>'Data Entries'!GL120</f>
        <v>2.671613185</v>
      </c>
    </row>
    <row r="120">
      <c r="A120" s="6">
        <f>'Data Entries'!GL121</f>
        <v>3.243225747</v>
      </c>
    </row>
    <row r="121">
      <c r="A121" s="6">
        <f>'Data Entries'!GL122</f>
        <v>3.209039526</v>
      </c>
    </row>
    <row r="122">
      <c r="A122" s="6">
        <f>'Data Entries'!GL123</f>
        <v>2.058041745</v>
      </c>
    </row>
    <row r="123">
      <c r="A123" s="6">
        <f>'Data Entries'!GL124</f>
        <v>1.88204203</v>
      </c>
    </row>
    <row r="124">
      <c r="A124" s="6">
        <f>'Data Entries'!GL125</f>
        <v>4.889005902</v>
      </c>
    </row>
    <row r="125">
      <c r="A125" s="6">
        <f>'Data Entries'!GL126</f>
        <v>3.915653624</v>
      </c>
    </row>
    <row r="126">
      <c r="A126" s="6">
        <f>'Data Entries'!GL127</f>
        <v>2.558750622</v>
      </c>
    </row>
    <row r="127">
      <c r="A127" s="6">
        <f>'Data Entries'!GL128</f>
        <v>3.232553053</v>
      </c>
    </row>
    <row r="128">
      <c r="A128" s="6">
        <f>'Data Entries'!GL129</f>
        <v>4.792613044</v>
      </c>
    </row>
    <row r="129">
      <c r="A129" s="6">
        <f>'Data Entries'!GL130</f>
        <v>3.958562266</v>
      </c>
    </row>
    <row r="130">
      <c r="A130" s="6">
        <f>'Data Entries'!GL131</f>
        <v>2.708168345</v>
      </c>
    </row>
    <row r="131">
      <c r="A131" s="6">
        <f>'Data Entries'!GL132</f>
        <v>2.756496017</v>
      </c>
    </row>
    <row r="132">
      <c r="A132" s="6">
        <f>'Data Entries'!GL133</f>
        <v>2.687207061</v>
      </c>
    </row>
    <row r="133">
      <c r="A133" s="6">
        <f>'Data Entries'!GL134</f>
        <v>2.932518918</v>
      </c>
    </row>
    <row r="134">
      <c r="A134" s="6">
        <f>'Data Entries'!GL135</f>
        <v>3.321825969</v>
      </c>
    </row>
    <row r="135">
      <c r="A135" s="6">
        <f>'Data Entries'!GL136</f>
        <v>2.564017848</v>
      </c>
    </row>
    <row r="136">
      <c r="A136" s="6">
        <f>'Data Entries'!GL137</f>
        <v>4.038119688</v>
      </c>
    </row>
    <row r="137">
      <c r="A137" s="6">
        <f>'Data Entries'!GL138</f>
        <v>2.728356826</v>
      </c>
    </row>
    <row r="138">
      <c r="A138" s="6">
        <f>'Data Entries'!GL139</f>
        <v>2.2791318</v>
      </c>
    </row>
    <row r="139">
      <c r="A139" s="6">
        <f>'Data Entries'!GL140</f>
        <v>3.15516858</v>
      </c>
    </row>
    <row r="140">
      <c r="A140" s="6">
        <f>'Data Entries'!GL141</f>
        <v>2.981998468</v>
      </c>
    </row>
    <row r="141">
      <c r="A141" s="6">
        <f>'Data Entries'!GL142</f>
        <v>2.225206607</v>
      </c>
    </row>
    <row r="142">
      <c r="A142" s="6">
        <f>'Data Entries'!GL143</f>
        <v>2.685652705</v>
      </c>
    </row>
    <row r="143">
      <c r="A143" s="6">
        <f>'Data Entries'!GL144</f>
        <v>2.435383793</v>
      </c>
    </row>
    <row r="144">
      <c r="A144" s="6">
        <f>'Data Entries'!GL145</f>
        <v>4.507718247</v>
      </c>
    </row>
    <row r="145">
      <c r="A145" s="6">
        <f>'Data Entries'!GL146</f>
        <v>3.479000601</v>
      </c>
    </row>
    <row r="146">
      <c r="A146" s="6">
        <f>'Data Entries'!GL147</f>
        <v>3.395362829</v>
      </c>
    </row>
    <row r="147">
      <c r="A147" s="6">
        <f>'Data Entries'!GL148</f>
        <v>2.021301969</v>
      </c>
    </row>
    <row r="148">
      <c r="A148" s="6">
        <f>'Data Entries'!GL149</f>
        <v>3.757938052</v>
      </c>
    </row>
    <row r="149">
      <c r="A149" s="6">
        <f>'Data Entries'!GL150</f>
        <v>3.556623936</v>
      </c>
    </row>
    <row r="150">
      <c r="A150" s="6">
        <f>'Data Entries'!GL151</f>
        <v>2.160046998</v>
      </c>
    </row>
    <row r="151">
      <c r="A151" s="6">
        <f>'Data Entries'!GL152</f>
        <v>2.616155728</v>
      </c>
    </row>
    <row r="152">
      <c r="A152" s="6">
        <f>'Data Entries'!GL153</f>
        <v>2.339976133</v>
      </c>
    </row>
    <row r="153">
      <c r="A153" s="6">
        <f>'Data Entries'!GL154</f>
        <v>3.132033472</v>
      </c>
    </row>
    <row r="154">
      <c r="A154" s="6">
        <f>'Data Entries'!GL155</f>
        <v>3.436658492</v>
      </c>
    </row>
    <row r="155">
      <c r="A155" s="6">
        <f>'Data Entries'!GL156</f>
        <v>2.488344568</v>
      </c>
    </row>
    <row r="156">
      <c r="A156" s="6">
        <f>'Data Entries'!GL157</f>
        <v>2.290761695</v>
      </c>
    </row>
    <row r="157">
      <c r="A157" s="6">
        <f>'Data Entries'!GL158</f>
        <v>1.971768173</v>
      </c>
    </row>
    <row r="158">
      <c r="A158" s="6">
        <f>'Data Entries'!GL159</f>
        <v>2.886691866</v>
      </c>
    </row>
    <row r="159">
      <c r="A159" s="6">
        <f>'Data Entries'!GL160</f>
        <v>3.701068855</v>
      </c>
    </row>
    <row r="160">
      <c r="A160" s="6">
        <f>'Data Entries'!GL161</f>
        <v>2.879419026</v>
      </c>
    </row>
    <row r="161">
      <c r="A161" s="6">
        <f>'Data Entries'!GL162</f>
        <v>3.141240399</v>
      </c>
    </row>
    <row r="162">
      <c r="A162" s="6">
        <f>'Data Entries'!GL163</f>
        <v>3.24355473</v>
      </c>
    </row>
    <row r="163">
      <c r="A163" s="6">
        <f>'Data Entries'!GL164</f>
        <v>3.463092616</v>
      </c>
    </row>
    <row r="164">
      <c r="A164" s="6">
        <f>'Data Entries'!GL165</f>
        <v>3.533488827</v>
      </c>
    </row>
    <row r="165">
      <c r="A165" s="6">
        <f>'Data Entries'!GL166</f>
        <v>2.373241027</v>
      </c>
    </row>
    <row r="166">
      <c r="A166" s="6">
        <f>'Data Entries'!GL167</f>
        <v>3.830998937</v>
      </c>
    </row>
    <row r="167">
      <c r="A167" s="6">
        <f>'Data Entries'!GL168</f>
        <v>4.234179921</v>
      </c>
    </row>
    <row r="168">
      <c r="A168" s="6">
        <f>'Data Entries'!GL169</f>
        <v>3.244341752</v>
      </c>
    </row>
    <row r="169">
      <c r="A169" s="6">
        <f>'Data Entries'!GL170</f>
        <v>2.977832373</v>
      </c>
    </row>
    <row r="170">
      <c r="A170" s="6">
        <f>'Data Entries'!GL171</f>
        <v>2.846780162</v>
      </c>
    </row>
    <row r="171">
      <c r="A171" s="6">
        <f>'Data Entries'!GL172</f>
        <v>3.376634429</v>
      </c>
    </row>
    <row r="172">
      <c r="A172" s="6">
        <f>'Data Entries'!GL173</f>
        <v>2.204984659</v>
      </c>
    </row>
    <row r="173">
      <c r="A173" s="6">
        <f>'Data Entries'!GL174</f>
        <v>2.694758356</v>
      </c>
    </row>
    <row r="174">
      <c r="A174" s="6">
        <f>'Data Entries'!GL175</f>
        <v>3.13288699</v>
      </c>
    </row>
    <row r="175">
      <c r="A175" s="6">
        <f>'Data Entries'!GL176</f>
        <v>2.307919989</v>
      </c>
    </row>
    <row r="176">
      <c r="A176" s="6">
        <f>'Data Entries'!GL177</f>
        <v>3.428752404</v>
      </c>
    </row>
    <row r="177">
      <c r="A177" s="6">
        <f>'Data Entries'!GL178</f>
        <v>3.509161156</v>
      </c>
    </row>
    <row r="178">
      <c r="A178" s="6">
        <f>'Data Entries'!GL179</f>
        <v>2.780248406</v>
      </c>
    </row>
    <row r="179">
      <c r="A179" s="6">
        <f>'Data Entries'!GL180</f>
        <v>2.903123511</v>
      </c>
    </row>
    <row r="180">
      <c r="A180" s="6">
        <f>'Data Entries'!GL181</f>
        <v>3.022954868</v>
      </c>
    </row>
    <row r="181">
      <c r="A181" s="6">
        <f>'Data Entries'!GL182</f>
        <v>3.775315741</v>
      </c>
    </row>
    <row r="182">
      <c r="A182" s="6">
        <f>'Data Entries'!GL183</f>
        <v>2.935200654</v>
      </c>
    </row>
    <row r="183">
      <c r="A183" s="6">
        <f>'Data Entries'!GL184</f>
        <v>3.028228437</v>
      </c>
    </row>
    <row r="184">
      <c r="A184" s="6">
        <f>'Data Entries'!GL185</f>
        <v>3.357895529</v>
      </c>
    </row>
    <row r="185">
      <c r="A185" s="6">
        <f>'Data Entries'!GL186</f>
        <v>2.430606104</v>
      </c>
    </row>
    <row r="186">
      <c r="A186" s="6">
        <f>'Data Entries'!GL187</f>
        <v>2.937299888</v>
      </c>
    </row>
    <row r="187">
      <c r="A187" s="6">
        <f>'Data Entries'!GL188</f>
        <v>3.163981122</v>
      </c>
    </row>
    <row r="188">
      <c r="A188" s="6">
        <f>'Data Entries'!GL189</f>
        <v>3.107151517</v>
      </c>
    </row>
    <row r="189">
      <c r="A189" s="6">
        <f>'Data Entries'!GL190</f>
        <v>3.645798419</v>
      </c>
    </row>
    <row r="190">
      <c r="A190" s="6">
        <f>'Data Entries'!GL191</f>
        <v>3.029511995</v>
      </c>
    </row>
    <row r="191">
      <c r="A191" s="6">
        <f>'Data Entries'!GL192</f>
        <v>4.832626899</v>
      </c>
    </row>
    <row r="192">
      <c r="A192" s="6">
        <f>'Data Entries'!GL193</f>
        <v>2.469955431</v>
      </c>
    </row>
    <row r="193">
      <c r="A193" s="6">
        <f>'Data Entries'!GL194</f>
        <v>2.305201943</v>
      </c>
    </row>
    <row r="194">
      <c r="A194" s="6">
        <f>'Data Entries'!GL195</f>
        <v>3.073961869</v>
      </c>
    </row>
    <row r="195">
      <c r="A195" s="6">
        <f>'Data Entries'!GL196</f>
        <v>3.061216408</v>
      </c>
    </row>
    <row r="196">
      <c r="A196" s="6">
        <f>'Data Entries'!GL197</f>
        <v>2.980701348</v>
      </c>
    </row>
    <row r="197">
      <c r="A197" s="6">
        <f>'Data Entries'!GL198</f>
        <v>4.367352365</v>
      </c>
    </row>
    <row r="198">
      <c r="A198" s="6">
        <f>'Data Entries'!GL199</f>
        <v>2.937931824</v>
      </c>
    </row>
    <row r="199">
      <c r="A199" s="6">
        <f>'Data Entries'!GL200</f>
        <v>2.961464162</v>
      </c>
    </row>
    <row r="200">
      <c r="A200" s="6">
        <f>'Data Entries'!GL201</f>
        <v>3.037478456</v>
      </c>
    </row>
    <row r="201">
      <c r="A201" s="6">
        <f>'Data Entries'!GL202</f>
        <v>3.739995142</v>
      </c>
    </row>
    <row r="202">
      <c r="A202" s="6">
        <f>'Data Entries'!GL203</f>
        <v>1.350607377</v>
      </c>
    </row>
    <row r="203">
      <c r="A203" s="6">
        <f>'Data Entries'!GL204</f>
        <v>1</v>
      </c>
    </row>
    <row r="204">
      <c r="A204" s="6">
        <f>'Data Entries'!GL205</f>
        <v>3.431244711</v>
      </c>
    </row>
    <row r="205">
      <c r="A205" s="6">
        <f>'Data Entries'!GL206</f>
        <v>3.062851698</v>
      </c>
    </row>
    <row r="206">
      <c r="A206" s="6">
        <f>'Data Entries'!GL207</f>
        <v>3.467252587</v>
      </c>
    </row>
    <row r="207">
      <c r="A207" s="6">
        <f>'Data Entries'!GL208</f>
        <v>3.573621239</v>
      </c>
    </row>
    <row r="208">
      <c r="A208" s="6">
        <f>'Data Entries'!GL209</f>
        <v>3.540627362</v>
      </c>
    </row>
    <row r="209">
      <c r="A209" s="6">
        <f>'Data Entries'!GL210</f>
        <v>3.346500997</v>
      </c>
    </row>
    <row r="210">
      <c r="A210" s="6">
        <f>'Data Entries'!GL211</f>
        <v>2.940900545</v>
      </c>
    </row>
    <row r="211">
      <c r="A211" s="6">
        <f>'Data Entries'!GL212</f>
        <v>3.041781263</v>
      </c>
    </row>
    <row r="212">
      <c r="A212" s="6">
        <f>'Data Entries'!GL213</f>
        <v>3.643128933</v>
      </c>
    </row>
    <row r="213">
      <c r="A213" s="6">
        <f>'Data Entries'!GL214</f>
        <v>2.961160553</v>
      </c>
    </row>
    <row r="214">
      <c r="A214" s="6">
        <f>'Data Entries'!GL215</f>
        <v>2.59814129</v>
      </c>
    </row>
    <row r="215">
      <c r="A215" s="6">
        <f>'Data Entries'!GL216</f>
        <v>2.793215887</v>
      </c>
    </row>
    <row r="216">
      <c r="A216" s="6">
        <f>'Data Entries'!GL217</f>
        <v>3.950359568</v>
      </c>
    </row>
    <row r="217">
      <c r="A217" s="6">
        <f>'Data Entries'!GL218</f>
        <v>3.714971444</v>
      </c>
    </row>
    <row r="218">
      <c r="A218" s="6">
        <f>'Data Entries'!GL219</f>
        <v>5</v>
      </c>
    </row>
    <row r="219">
      <c r="A219" s="6">
        <f>'Data Entries'!GL220</f>
        <v>3.739235244</v>
      </c>
    </row>
    <row r="220">
      <c r="A220" s="6">
        <f>'Data Entries'!GL221</f>
        <v>4.27272079</v>
      </c>
    </row>
    <row r="221">
      <c r="A221" s="6">
        <f>'Data Entries'!GL222</f>
        <v>2.049107147</v>
      </c>
    </row>
    <row r="222">
      <c r="A222" s="6">
        <f>'Data Entries'!GL223</f>
        <v>4.117269381</v>
      </c>
    </row>
    <row r="223">
      <c r="A223" s="6">
        <f>'Data Entries'!GL224</f>
        <v>3.805876588</v>
      </c>
    </row>
    <row r="224">
      <c r="A224" s="6">
        <f>'Data Entries'!GL225</f>
        <v>3.316128703</v>
      </c>
    </row>
    <row r="225">
      <c r="A225" s="6">
        <f>'Data Entries'!GL226</f>
        <v>3.048311267</v>
      </c>
    </row>
    <row r="226">
      <c r="A226" s="6">
        <f>'Data Entries'!GL227</f>
        <v>3.530046319</v>
      </c>
    </row>
    <row r="227">
      <c r="A227" s="6">
        <f>'Data Entries'!GL228</f>
        <v>3.12258637</v>
      </c>
    </row>
    <row r="228">
      <c r="A228" s="6">
        <f>'Data Entries'!GL229</f>
        <v>3.604675997</v>
      </c>
    </row>
    <row r="229">
      <c r="A229" s="6">
        <f>'Data Entries'!GL230</f>
        <v>2.956385926</v>
      </c>
    </row>
    <row r="230">
      <c r="A230" s="6">
        <f>'Data Entries'!GL231</f>
        <v>2.812204805</v>
      </c>
    </row>
    <row r="231">
      <c r="A231" s="6">
        <f>'Data Entries'!GL232</f>
        <v>3.326662279</v>
      </c>
    </row>
    <row r="232">
      <c r="A232" s="6">
        <f>'Data Entries'!GL233</f>
        <v>3.537026706</v>
      </c>
    </row>
    <row r="233">
      <c r="A233" s="6">
        <f>'Data Entries'!GL234</f>
        <v>3.229016487</v>
      </c>
    </row>
    <row r="234">
      <c r="A234" s="6">
        <f>'Data Entries'!GL235</f>
        <v>3.57110312</v>
      </c>
    </row>
    <row r="235">
      <c r="A235" s="6">
        <f>'Data Entries'!GL236</f>
        <v>3.233070588</v>
      </c>
    </row>
    <row r="236">
      <c r="A236" s="6">
        <f>'Data Entries'!GL237</f>
        <v>2.322457139</v>
      </c>
    </row>
    <row r="237">
      <c r="A237" s="6">
        <f>'Data Entries'!GL238</f>
        <v>2.8783623</v>
      </c>
    </row>
    <row r="238">
      <c r="A238" s="6">
        <f>'Data Entries'!GL239</f>
        <v>2.890351801</v>
      </c>
    </row>
    <row r="239">
      <c r="A239" s="6">
        <f>'Data Entries'!GL240</f>
        <v>3.385428596</v>
      </c>
    </row>
    <row r="240">
      <c r="A240" s="6">
        <f>'Data Entries'!GL241</f>
        <v>4.420604718</v>
      </c>
    </row>
    <row r="241">
      <c r="A241" s="6">
        <f>'Data Entries'!GL242</f>
        <v>2.561695719</v>
      </c>
    </row>
    <row r="242">
      <c r="A242" s="6">
        <f>'Data Entries'!GL243</f>
        <v>2.620873701</v>
      </c>
    </row>
    <row r="243">
      <c r="A243" s="6">
        <f>'Data Entries'!GL244</f>
        <v>2.5589278</v>
      </c>
    </row>
    <row r="244">
      <c r="A244" s="6">
        <f>'Data Entries'!GL245</f>
        <v>2.258574745</v>
      </c>
    </row>
    <row r="245">
      <c r="A245" s="6">
        <f>'Data Entries'!GL246</f>
        <v>3.034761941</v>
      </c>
    </row>
    <row r="246">
      <c r="A246" s="6">
        <f>'Data Entries'!GL247</f>
        <v>3.382771359</v>
      </c>
    </row>
    <row r="247">
      <c r="A247" s="6">
        <f>'Data Entries'!GL248</f>
        <v>3.117738028</v>
      </c>
    </row>
    <row r="248">
      <c r="A248" s="6">
        <f>'Data Entries'!GL249</f>
        <v>2.973627998</v>
      </c>
    </row>
    <row r="249">
      <c r="A249" s="6">
        <f>'Data Entries'!GL250</f>
        <v>3.936582535</v>
      </c>
    </row>
    <row r="250">
      <c r="A250" s="6">
        <f>'Data Entries'!GL251</f>
        <v>4.476133922</v>
      </c>
    </row>
    <row r="251">
      <c r="A251" s="6">
        <f>'Data Entries'!GL252</f>
        <v>2.550100385</v>
      </c>
    </row>
    <row r="252">
      <c r="A252" s="6">
        <f>'Data Entries'!GL253</f>
        <v>2.815662625</v>
      </c>
    </row>
    <row r="253">
      <c r="A253" s="6">
        <f>'Data Entries'!GL254</f>
        <v>3.26199527</v>
      </c>
    </row>
    <row r="254">
      <c r="A254" s="6">
        <f>'Data Entries'!GL255</f>
        <v>4.068875212</v>
      </c>
    </row>
    <row r="255">
      <c r="A255" s="6">
        <f>'Data Entries'!GL256</f>
        <v>2.652629298</v>
      </c>
    </row>
    <row r="256">
      <c r="A256" s="6">
        <f>'Data Entries'!GL257</f>
        <v>3.509257401</v>
      </c>
    </row>
    <row r="257">
      <c r="A257" s="6">
        <f>'Data Entries'!GL258</f>
        <v>3.581823937</v>
      </c>
    </row>
    <row r="258">
      <c r="A258" s="6">
        <f>'Data Entries'!GL259</f>
        <v>1.820627226</v>
      </c>
    </row>
    <row r="259">
      <c r="A259" s="6">
        <f>'Data Entries'!GL260</f>
        <v>3.288687068</v>
      </c>
    </row>
    <row r="260">
      <c r="A260" s="6">
        <f>'Data Entries'!GL261</f>
        <v>3.223815539</v>
      </c>
    </row>
    <row r="261">
      <c r="A261" s="6">
        <f>'Data Entries'!GL262</f>
        <v>3.047366316</v>
      </c>
    </row>
    <row r="262">
      <c r="A262" s="6">
        <f>'Data Entries'!GL263</f>
        <v>3.779382092</v>
      </c>
    </row>
    <row r="263">
      <c r="A263" s="6">
        <f>'Data Entries'!GL264</f>
        <v>3.843418259</v>
      </c>
    </row>
    <row r="264">
      <c r="A264" s="6">
        <f>'Data Entries'!GL265</f>
        <v>3.024136275</v>
      </c>
    </row>
    <row r="265">
      <c r="A265" s="6">
        <f>'Data Entries'!GL266</f>
        <v>3.567145263</v>
      </c>
    </row>
    <row r="266">
      <c r="A266" s="6">
        <f>'Data Entries'!GL267</f>
        <v>3.588171994</v>
      </c>
    </row>
    <row r="267">
      <c r="A267" s="6">
        <f>'Data Entries'!GL268</f>
        <v>2.218746818</v>
      </c>
    </row>
    <row r="268">
      <c r="A268" s="6">
        <f>'Data Entries'!GL269</f>
        <v>2.778241698</v>
      </c>
    </row>
    <row r="269">
      <c r="A269" s="6">
        <f>'Data Entries'!GL270</f>
        <v>2.550153319</v>
      </c>
    </row>
    <row r="270">
      <c r="A270" s="6">
        <f>'Data Entries'!GL271</f>
        <v>1.689816503</v>
      </c>
    </row>
    <row r="271">
      <c r="A271" s="6">
        <f>'Data Entries'!GL272</f>
        <v>3.869515963</v>
      </c>
    </row>
    <row r="272">
      <c r="A272" s="6">
        <f>'Data Entries'!GL273</f>
        <v>3.339432677</v>
      </c>
    </row>
    <row r="273">
      <c r="A273" s="6">
        <f>'Data Entries'!GL274</f>
        <v>3.866856539</v>
      </c>
    </row>
    <row r="274">
      <c r="A274" s="6" t="str">
        <f>'Data Entries'!GL275</f>
        <v/>
      </c>
    </row>
    <row r="275">
      <c r="A275" s="6" t="str">
        <f>'Data Entries'!GL276</f>
        <v/>
      </c>
    </row>
    <row r="276">
      <c r="A276" s="6" t="str">
        <f>'Data Entries'!GL277</f>
        <v/>
      </c>
    </row>
    <row r="277">
      <c r="A277" s="6" t="str">
        <f>'Data Entries'!GL278</f>
        <v/>
      </c>
    </row>
    <row r="278">
      <c r="A278" s="6" t="str">
        <f>'Data Entries'!GL279</f>
        <v/>
      </c>
    </row>
    <row r="279">
      <c r="A279" s="6" t="str">
        <f>'Data Entries'!GL280</f>
        <v/>
      </c>
    </row>
    <row r="280">
      <c r="A280" s="6" t="str">
        <f>'Data Entries'!GL281</f>
        <v/>
      </c>
    </row>
    <row r="281">
      <c r="A281" s="6" t="str">
        <f>'Data Entries'!GL282</f>
        <v/>
      </c>
    </row>
    <row r="282">
      <c r="A282" s="6" t="str">
        <f>'Data Entries'!GL283</f>
        <v/>
      </c>
    </row>
    <row r="283">
      <c r="A283" s="6" t="str">
        <f>'Data Entries'!GL284</f>
        <v/>
      </c>
    </row>
    <row r="284">
      <c r="A284" s="6" t="str">
        <f>'Data Entries'!GL285</f>
        <v/>
      </c>
    </row>
    <row r="285">
      <c r="A285" s="6" t="str">
        <f>'Data Entries'!GL286</f>
        <v/>
      </c>
    </row>
    <row r="286">
      <c r="A286" s="6" t="str">
        <f>'Data Entries'!GL287</f>
        <v/>
      </c>
    </row>
    <row r="287">
      <c r="A287" s="6" t="str">
        <f>'Data Entries'!GL288</f>
        <v/>
      </c>
    </row>
    <row r="288">
      <c r="A288" s="6" t="str">
        <f>'Data Entries'!GL289</f>
        <v/>
      </c>
    </row>
    <row r="289">
      <c r="A289" s="6" t="str">
        <f>'Data Entries'!GL290</f>
        <v/>
      </c>
    </row>
    <row r="290">
      <c r="A290" s="6" t="str">
        <f>'Data Entries'!GL291</f>
        <v/>
      </c>
    </row>
    <row r="291">
      <c r="A291" s="6" t="str">
        <f>'Data Entries'!GL292</f>
        <v/>
      </c>
    </row>
    <row r="292">
      <c r="A292" s="6" t="str">
        <f>'Data Entries'!GL293</f>
        <v/>
      </c>
    </row>
    <row r="293">
      <c r="A293" s="6" t="str">
        <f>'Data Entries'!GL294</f>
        <v/>
      </c>
    </row>
    <row r="294">
      <c r="A294" s="6" t="str">
        <f>'Data Entries'!GL295</f>
        <v/>
      </c>
    </row>
    <row r="295">
      <c r="A295" s="6" t="str">
        <f>'Data Entries'!GL296</f>
        <v/>
      </c>
    </row>
    <row r="296">
      <c r="A296" s="6" t="str">
        <f>'Data Entries'!GL297</f>
        <v/>
      </c>
    </row>
    <row r="297">
      <c r="A297" s="6" t="str">
        <f>'Data Entries'!GL298</f>
        <v/>
      </c>
    </row>
    <row r="298">
      <c r="A298" s="6" t="str">
        <f>'Data Entries'!GL299</f>
        <v/>
      </c>
    </row>
    <row r="299">
      <c r="A299" s="6" t="str">
        <f>'Data Entries'!GL300</f>
        <v/>
      </c>
    </row>
    <row r="300">
      <c r="A300" s="6" t="str">
        <f>'Data Entries'!GL301</f>
        <v/>
      </c>
    </row>
    <row r="301">
      <c r="A301" s="6" t="str">
        <f>'Data Entries'!GL302</f>
        <v/>
      </c>
    </row>
    <row r="302">
      <c r="A302" s="6" t="str">
        <f>'Data Entries'!GL303</f>
        <v/>
      </c>
    </row>
    <row r="303">
      <c r="A303" s="6" t="str">
        <f>'Data Entries'!GL304</f>
        <v/>
      </c>
    </row>
    <row r="304">
      <c r="A304" s="6" t="str">
        <f>'Data Entries'!GL305</f>
        <v/>
      </c>
    </row>
    <row r="305">
      <c r="A305" s="6" t="str">
        <f>'Data Entries'!GL306</f>
        <v/>
      </c>
    </row>
    <row r="306">
      <c r="A306" s="6" t="str">
        <f>'Data Entries'!GL307</f>
        <v/>
      </c>
    </row>
    <row r="307">
      <c r="A307" s="6" t="str">
        <f>'Data Entries'!GL308</f>
        <v/>
      </c>
    </row>
    <row r="308">
      <c r="A308" s="6" t="str">
        <f>'Data Entries'!GL309</f>
        <v/>
      </c>
    </row>
    <row r="309">
      <c r="A309" s="6" t="str">
        <f>'Data Entries'!GL310</f>
        <v/>
      </c>
    </row>
    <row r="310">
      <c r="A310" s="6" t="str">
        <f>'Data Entries'!GL311</f>
        <v/>
      </c>
    </row>
    <row r="311">
      <c r="A311" s="6" t="str">
        <f>'Data Entries'!GL312</f>
        <v/>
      </c>
    </row>
    <row r="312">
      <c r="A312" s="6" t="str">
        <f>'Data Entries'!GL313</f>
        <v/>
      </c>
    </row>
    <row r="313">
      <c r="A313" s="6" t="str">
        <f>'Data Entries'!GL314</f>
        <v/>
      </c>
    </row>
    <row r="314">
      <c r="A314" s="6" t="str">
        <f>'Data Entries'!GL315</f>
        <v/>
      </c>
    </row>
    <row r="315">
      <c r="A315" s="6" t="str">
        <f>'Data Entries'!GL316</f>
        <v/>
      </c>
    </row>
    <row r="316">
      <c r="A316" s="6" t="str">
        <f>'Data Entries'!GL317</f>
        <v/>
      </c>
    </row>
    <row r="317">
      <c r="A317" s="6" t="str">
        <f>'Data Entries'!GL318</f>
        <v/>
      </c>
    </row>
    <row r="318">
      <c r="A318" s="6" t="str">
        <f>'Data Entries'!GL319</f>
        <v/>
      </c>
    </row>
    <row r="319">
      <c r="A319" s="6" t="str">
        <f>'Data Entries'!GL320</f>
        <v/>
      </c>
    </row>
    <row r="320">
      <c r="A320" s="6" t="str">
        <f>'Data Entries'!GL321</f>
        <v/>
      </c>
    </row>
    <row r="321">
      <c r="A321" s="6" t="str">
        <f>'Data Entries'!GL322</f>
        <v/>
      </c>
    </row>
    <row r="322">
      <c r="A322" s="6" t="str">
        <f>'Data Entries'!GL323</f>
        <v/>
      </c>
    </row>
    <row r="323">
      <c r="A323" s="6" t="str">
        <f>'Data Entries'!GL324</f>
        <v/>
      </c>
    </row>
    <row r="324">
      <c r="A324" s="6" t="str">
        <f>'Data Entries'!GL325</f>
        <v/>
      </c>
    </row>
    <row r="325">
      <c r="A325" s="6" t="str">
        <f>'Data Entries'!GL326</f>
        <v/>
      </c>
    </row>
    <row r="326">
      <c r="A326" s="6" t="str">
        <f>'Data Entries'!GL327</f>
        <v/>
      </c>
    </row>
    <row r="327">
      <c r="A327" s="6" t="str">
        <f>'Data Entries'!GL328</f>
        <v/>
      </c>
    </row>
    <row r="328">
      <c r="A328" s="6" t="str">
        <f>'Data Entries'!GL329</f>
        <v/>
      </c>
    </row>
    <row r="329">
      <c r="A329" s="6" t="str">
        <f>'Data Entries'!GL330</f>
        <v/>
      </c>
    </row>
    <row r="330">
      <c r="A330" s="6" t="str">
        <f>'Data Entries'!GL331</f>
        <v/>
      </c>
    </row>
    <row r="331">
      <c r="A331" s="6" t="str">
        <f>'Data Entries'!GL332</f>
        <v/>
      </c>
    </row>
    <row r="332">
      <c r="A332" s="6" t="str">
        <f>'Data Entries'!GL333</f>
        <v/>
      </c>
    </row>
    <row r="333">
      <c r="A333" s="6" t="str">
        <f>'Data Entries'!GL334</f>
        <v/>
      </c>
    </row>
    <row r="334">
      <c r="A334" s="6" t="str">
        <f>'Data Entries'!GL335</f>
        <v/>
      </c>
    </row>
    <row r="335">
      <c r="A335" s="6" t="str">
        <f>'Data Entries'!GL336</f>
        <v/>
      </c>
    </row>
    <row r="336">
      <c r="A336" s="6" t="str">
        <f>'Data Entries'!GL337</f>
        <v/>
      </c>
    </row>
    <row r="337">
      <c r="A337" s="6" t="str">
        <f>'Data Entries'!GL338</f>
        <v/>
      </c>
    </row>
    <row r="338">
      <c r="A338" s="6" t="str">
        <f>'Data Entries'!GL339</f>
        <v/>
      </c>
    </row>
    <row r="339">
      <c r="A339" s="6" t="str">
        <f>'Data Entries'!GL340</f>
        <v/>
      </c>
    </row>
    <row r="340">
      <c r="A340" s="6" t="str">
        <f>'Data Entries'!GL341</f>
        <v/>
      </c>
    </row>
    <row r="341">
      <c r="A341" s="6" t="str">
        <f>'Data Entries'!GL342</f>
        <v/>
      </c>
    </row>
    <row r="342">
      <c r="A342" s="6" t="str">
        <f>'Data Entries'!GL343</f>
        <v/>
      </c>
    </row>
    <row r="343">
      <c r="A343" s="6" t="str">
        <f>'Data Entries'!GL344</f>
        <v/>
      </c>
    </row>
    <row r="344">
      <c r="A344" s="6" t="str">
        <f>'Data Entries'!GL345</f>
        <v/>
      </c>
    </row>
    <row r="345">
      <c r="A345" s="6" t="str">
        <f>'Data Entries'!GL346</f>
        <v/>
      </c>
    </row>
    <row r="346">
      <c r="A346" s="6" t="str">
        <f>'Data Entries'!GL347</f>
        <v/>
      </c>
    </row>
    <row r="347">
      <c r="A347" s="6" t="str">
        <f>'Data Entries'!GL348</f>
        <v/>
      </c>
    </row>
    <row r="348">
      <c r="A348" s="6" t="str">
        <f>'Data Entries'!GL349</f>
        <v/>
      </c>
    </row>
    <row r="349">
      <c r="A349" s="6" t="str">
        <f>'Data Entries'!GL350</f>
        <v/>
      </c>
    </row>
    <row r="350">
      <c r="A350" s="6" t="str">
        <f>'Data Entries'!GL351</f>
        <v/>
      </c>
    </row>
    <row r="351">
      <c r="A351" s="6" t="str">
        <f>'Data Entries'!GL352</f>
        <v/>
      </c>
    </row>
    <row r="352">
      <c r="A352" s="6" t="str">
        <f>'Data Entries'!GL353</f>
        <v/>
      </c>
    </row>
    <row r="353">
      <c r="A353" s="6" t="str">
        <f>'Data Entries'!GL354</f>
        <v/>
      </c>
    </row>
    <row r="354">
      <c r="A354" s="6" t="str">
        <f>'Data Entries'!GL355</f>
        <v/>
      </c>
    </row>
    <row r="355">
      <c r="A355" s="6" t="str">
        <f>'Data Entries'!GL356</f>
        <v/>
      </c>
    </row>
    <row r="356">
      <c r="A356" s="6" t="str">
        <f>'Data Entries'!GL357</f>
        <v/>
      </c>
    </row>
    <row r="357">
      <c r="A357" s="6" t="str">
        <f>'Data Entries'!GL358</f>
        <v/>
      </c>
    </row>
    <row r="358">
      <c r="A358" s="6" t="str">
        <f>'Data Entries'!GL359</f>
        <v/>
      </c>
    </row>
    <row r="359">
      <c r="A359" s="6" t="str">
        <f>'Data Entries'!GL360</f>
        <v/>
      </c>
    </row>
    <row r="360">
      <c r="A360" s="6" t="str">
        <f>'Data Entries'!GL361</f>
        <v/>
      </c>
    </row>
    <row r="361">
      <c r="A361" s="6" t="str">
        <f>'Data Entries'!GL362</f>
        <v/>
      </c>
    </row>
    <row r="362">
      <c r="A362" s="6" t="str">
        <f>'Data Entries'!GL363</f>
        <v/>
      </c>
    </row>
    <row r="363">
      <c r="A363" s="6" t="str">
        <f>'Data Entries'!GL364</f>
        <v/>
      </c>
    </row>
    <row r="364">
      <c r="A364" s="6" t="str">
        <f>'Data Entries'!GL365</f>
        <v/>
      </c>
    </row>
    <row r="365">
      <c r="A365" s="6" t="str">
        <f>'Data Entries'!GL366</f>
        <v/>
      </c>
    </row>
    <row r="366">
      <c r="A366" s="6" t="str">
        <f>'Data Entries'!GL367</f>
        <v/>
      </c>
    </row>
    <row r="367">
      <c r="A367" s="6" t="str">
        <f>'Data Entries'!GL368</f>
        <v/>
      </c>
    </row>
    <row r="368">
      <c r="A368" s="6" t="str">
        <f>'Data Entries'!GL369</f>
        <v/>
      </c>
    </row>
    <row r="369">
      <c r="A369" s="6" t="str">
        <f>'Data Entries'!GL370</f>
        <v/>
      </c>
    </row>
    <row r="370">
      <c r="A370" s="6" t="str">
        <f>'Data Entries'!GL371</f>
        <v/>
      </c>
    </row>
    <row r="371">
      <c r="A371" s="6" t="str">
        <f>'Data Entries'!GL372</f>
        <v/>
      </c>
    </row>
    <row r="372">
      <c r="A372" s="6" t="str">
        <f>'Data Entries'!GL373</f>
        <v/>
      </c>
    </row>
    <row r="373">
      <c r="A373" s="6" t="str">
        <f>'Data Entries'!GL374</f>
        <v/>
      </c>
    </row>
    <row r="374">
      <c r="A374" s="6" t="str">
        <f>'Data Entries'!GL375</f>
        <v/>
      </c>
    </row>
    <row r="375">
      <c r="A375" s="6" t="str">
        <f>'Data Entries'!GL376</f>
        <v/>
      </c>
    </row>
    <row r="376">
      <c r="A376" s="6" t="str">
        <f>'Data Entries'!GL377</f>
        <v/>
      </c>
    </row>
    <row r="377">
      <c r="A377" s="6" t="str">
        <f>'Data Entries'!GL378</f>
        <v/>
      </c>
    </row>
    <row r="378">
      <c r="A378" s="6" t="str">
        <f>'Data Entries'!GL379</f>
        <v/>
      </c>
    </row>
    <row r="379">
      <c r="A379" s="6" t="str">
        <f>'Data Entries'!GL380</f>
        <v/>
      </c>
    </row>
    <row r="380">
      <c r="A380" s="6" t="str">
        <f>'Data Entries'!GL381</f>
        <v/>
      </c>
    </row>
    <row r="381">
      <c r="A381" s="6" t="str">
        <f>'Data Entries'!GL382</f>
        <v/>
      </c>
    </row>
    <row r="382">
      <c r="A382" s="6" t="str">
        <f>'Data Entries'!GL383</f>
        <v/>
      </c>
    </row>
    <row r="383">
      <c r="A383" s="6" t="str">
        <f>'Data Entries'!GL384</f>
        <v/>
      </c>
    </row>
    <row r="384">
      <c r="A384" s="6" t="str">
        <f>'Data Entries'!GL385</f>
        <v/>
      </c>
    </row>
    <row r="385">
      <c r="A385" s="6" t="str">
        <f>'Data Entries'!GL386</f>
        <v/>
      </c>
    </row>
    <row r="386">
      <c r="A386" s="6" t="str">
        <f>'Data Entries'!GL387</f>
        <v/>
      </c>
    </row>
    <row r="387">
      <c r="A387" s="6" t="str">
        <f>'Data Entries'!GL388</f>
        <v/>
      </c>
    </row>
    <row r="388">
      <c r="A388" s="6" t="str">
        <f>'Data Entries'!GL389</f>
        <v/>
      </c>
    </row>
    <row r="389">
      <c r="A389" s="6" t="str">
        <f>'Data Entries'!GL390</f>
        <v/>
      </c>
    </row>
    <row r="390">
      <c r="A390" s="6" t="str">
        <f>'Data Entries'!GL391</f>
        <v/>
      </c>
    </row>
    <row r="391">
      <c r="A391" s="6" t="str">
        <f>'Data Entries'!GL392</f>
        <v/>
      </c>
    </row>
    <row r="392">
      <c r="A392" s="6" t="str">
        <f>'Data Entries'!GL393</f>
        <v/>
      </c>
    </row>
    <row r="393">
      <c r="A393" s="6" t="str">
        <f>'Data Entries'!GL394</f>
        <v/>
      </c>
    </row>
    <row r="394">
      <c r="A394" s="6" t="str">
        <f>'Data Entries'!GL395</f>
        <v/>
      </c>
    </row>
    <row r="395">
      <c r="A395" s="6" t="str">
        <f>'Data Entries'!GL396</f>
        <v/>
      </c>
    </row>
    <row r="396">
      <c r="A396" s="6" t="str">
        <f>'Data Entries'!GL397</f>
        <v/>
      </c>
    </row>
    <row r="397">
      <c r="A397" s="6" t="str">
        <f>'Data Entries'!GL398</f>
        <v/>
      </c>
    </row>
    <row r="398">
      <c r="A398" s="6" t="str">
        <f>'Data Entries'!GL399</f>
        <v/>
      </c>
    </row>
    <row r="399">
      <c r="A399" s="6" t="str">
        <f>'Data Entries'!GL400</f>
        <v/>
      </c>
    </row>
    <row r="400">
      <c r="A400" s="6" t="str">
        <f>'Data Entries'!GL401</f>
        <v/>
      </c>
    </row>
    <row r="401">
      <c r="A401" s="6" t="str">
        <f>'Data Entries'!GL402</f>
        <v/>
      </c>
    </row>
    <row r="402">
      <c r="A402" s="6" t="str">
        <f>'Data Entries'!GL403</f>
        <v/>
      </c>
    </row>
    <row r="403">
      <c r="A403" s="6" t="str">
        <f>'Data Entries'!GL404</f>
        <v/>
      </c>
    </row>
    <row r="404">
      <c r="A404" s="6" t="str">
        <f>'Data Entries'!GL405</f>
        <v/>
      </c>
    </row>
    <row r="405">
      <c r="A405" s="6" t="str">
        <f>'Data Entries'!GL406</f>
        <v/>
      </c>
    </row>
    <row r="406">
      <c r="A406" s="6" t="str">
        <f>'Data Entries'!GL407</f>
        <v/>
      </c>
    </row>
    <row r="407">
      <c r="A407" s="6" t="str">
        <f>'Data Entries'!GL408</f>
        <v/>
      </c>
    </row>
    <row r="408">
      <c r="A408" s="6" t="str">
        <f>'Data Entries'!GL409</f>
        <v/>
      </c>
    </row>
    <row r="409">
      <c r="A409" s="6" t="str">
        <f>'Data Entries'!GL410</f>
        <v/>
      </c>
    </row>
    <row r="410">
      <c r="A410" s="6" t="str">
        <f>'Data Entries'!GL411</f>
        <v/>
      </c>
    </row>
    <row r="411">
      <c r="A411" s="6" t="str">
        <f>'Data Entries'!GL412</f>
        <v/>
      </c>
    </row>
    <row r="412">
      <c r="A412" s="6" t="str">
        <f>'Data Entries'!GL413</f>
        <v/>
      </c>
    </row>
    <row r="413">
      <c r="A413" s="6" t="str">
        <f>'Data Entries'!GL414</f>
        <v/>
      </c>
    </row>
    <row r="414">
      <c r="A414" s="6" t="str">
        <f>'Data Entries'!GL415</f>
        <v/>
      </c>
    </row>
    <row r="415">
      <c r="A415" s="6" t="str">
        <f>'Data Entries'!GL416</f>
        <v/>
      </c>
    </row>
    <row r="416">
      <c r="A416" s="6" t="str">
        <f>'Data Entries'!GL417</f>
        <v/>
      </c>
    </row>
    <row r="417">
      <c r="A417" s="6" t="str">
        <f>'Data Entries'!GL418</f>
        <v/>
      </c>
    </row>
    <row r="418">
      <c r="A418" s="6" t="str">
        <f>'Data Entries'!GL419</f>
        <v/>
      </c>
    </row>
    <row r="419">
      <c r="A419" s="6" t="str">
        <f>'Data Entries'!GL420</f>
        <v/>
      </c>
    </row>
    <row r="420">
      <c r="A420" s="6" t="str">
        <f>'Data Entries'!GL421</f>
        <v/>
      </c>
    </row>
    <row r="421">
      <c r="A421" s="6" t="str">
        <f>'Data Entries'!GL422</f>
        <v/>
      </c>
    </row>
    <row r="422">
      <c r="A422" s="6" t="str">
        <f>'Data Entries'!GL423</f>
        <v/>
      </c>
    </row>
    <row r="423">
      <c r="A423" s="6" t="str">
        <f>'Data Entries'!GL424</f>
        <v/>
      </c>
    </row>
    <row r="424">
      <c r="A424" s="6" t="str">
        <f>'Data Entries'!GL425</f>
        <v/>
      </c>
    </row>
    <row r="425">
      <c r="A425" s="6" t="str">
        <f>'Data Entries'!GL426</f>
        <v/>
      </c>
    </row>
    <row r="426">
      <c r="A426" s="6" t="str">
        <f>'Data Entries'!GL427</f>
        <v/>
      </c>
    </row>
    <row r="427">
      <c r="A427" s="6" t="str">
        <f>'Data Entries'!GL428</f>
        <v/>
      </c>
    </row>
    <row r="428">
      <c r="A428" s="6" t="str">
        <f>'Data Entries'!GL429</f>
        <v/>
      </c>
    </row>
    <row r="429">
      <c r="A429" s="6" t="str">
        <f>'Data Entries'!GL430</f>
        <v/>
      </c>
    </row>
    <row r="430">
      <c r="A430" s="6" t="str">
        <f>'Data Entries'!GL431</f>
        <v/>
      </c>
    </row>
    <row r="431">
      <c r="A431" s="6" t="str">
        <f>'Data Entries'!GL432</f>
        <v/>
      </c>
    </row>
    <row r="432">
      <c r="A432" s="6" t="str">
        <f>'Data Entries'!GL433</f>
        <v/>
      </c>
    </row>
    <row r="433">
      <c r="A433" s="6" t="str">
        <f>'Data Entries'!GL434</f>
        <v/>
      </c>
    </row>
    <row r="434">
      <c r="A434" s="6" t="str">
        <f>'Data Entries'!GL435</f>
        <v/>
      </c>
    </row>
    <row r="435">
      <c r="A435" s="6" t="str">
        <f>'Data Entries'!GL436</f>
        <v/>
      </c>
    </row>
    <row r="436">
      <c r="A436" s="6" t="str">
        <f>'Data Entries'!GL437</f>
        <v/>
      </c>
    </row>
    <row r="437">
      <c r="A437" s="6" t="str">
        <f>'Data Entries'!GL438</f>
        <v/>
      </c>
    </row>
    <row r="438">
      <c r="A438" s="6" t="str">
        <f>'Data Entries'!GL439</f>
        <v/>
      </c>
    </row>
    <row r="439">
      <c r="A439" s="6" t="str">
        <f>'Data Entries'!GL440</f>
        <v/>
      </c>
    </row>
    <row r="440">
      <c r="A440" s="6" t="str">
        <f>'Data Entries'!GL441</f>
        <v/>
      </c>
    </row>
    <row r="441">
      <c r="A441" s="6" t="str">
        <f>'Data Entries'!GL442</f>
        <v/>
      </c>
    </row>
    <row r="442">
      <c r="A442" s="6" t="str">
        <f>'Data Entries'!GL443</f>
        <v/>
      </c>
    </row>
    <row r="443">
      <c r="A443" s="6" t="str">
        <f>'Data Entries'!GL444</f>
        <v/>
      </c>
    </row>
    <row r="444">
      <c r="A444" s="6" t="str">
        <f>'Data Entries'!GL445</f>
        <v/>
      </c>
    </row>
    <row r="445">
      <c r="A445" s="6" t="str">
        <f>'Data Entries'!GL446</f>
        <v/>
      </c>
    </row>
    <row r="446">
      <c r="A446" s="6" t="str">
        <f>'Data Entries'!GL447</f>
        <v/>
      </c>
    </row>
    <row r="447">
      <c r="A447" s="6" t="str">
        <f>'Data Entries'!GL448</f>
        <v/>
      </c>
    </row>
    <row r="448">
      <c r="A448" s="6" t="str">
        <f>'Data Entries'!GL449</f>
        <v/>
      </c>
    </row>
    <row r="449">
      <c r="A449" s="6" t="str">
        <f>'Data Entries'!GL450</f>
        <v/>
      </c>
    </row>
    <row r="450">
      <c r="A450" s="6" t="str">
        <f>'Data Entries'!GL451</f>
        <v/>
      </c>
    </row>
    <row r="451">
      <c r="A451" s="6" t="str">
        <f>'Data Entries'!GL452</f>
        <v/>
      </c>
    </row>
    <row r="452">
      <c r="A452" s="6" t="str">
        <f>'Data Entries'!GL453</f>
        <v/>
      </c>
    </row>
    <row r="453">
      <c r="A453" s="6" t="str">
        <f>'Data Entries'!GL454</f>
        <v/>
      </c>
    </row>
    <row r="454">
      <c r="A454" s="6" t="str">
        <f>'Data Entries'!GL455</f>
        <v/>
      </c>
    </row>
    <row r="455">
      <c r="A455" s="6" t="str">
        <f>'Data Entries'!GL456</f>
        <v/>
      </c>
    </row>
    <row r="456">
      <c r="A456" s="6" t="str">
        <f>'Data Entries'!GL457</f>
        <v/>
      </c>
    </row>
    <row r="457">
      <c r="A457" s="6" t="str">
        <f>'Data Entries'!GL458</f>
        <v/>
      </c>
    </row>
    <row r="458">
      <c r="A458" s="6" t="str">
        <f>'Data Entries'!GL459</f>
        <v/>
      </c>
    </row>
    <row r="459">
      <c r="A459" s="6" t="str">
        <f>'Data Entries'!GL460</f>
        <v/>
      </c>
    </row>
    <row r="460">
      <c r="A460" s="6" t="str">
        <f>'Data Entries'!GL461</f>
        <v/>
      </c>
    </row>
    <row r="461">
      <c r="A461" s="6" t="str">
        <f>'Data Entries'!GL462</f>
        <v/>
      </c>
    </row>
    <row r="462">
      <c r="A462" s="6" t="str">
        <f>'Data Entries'!GL463</f>
        <v/>
      </c>
    </row>
    <row r="463">
      <c r="A463" s="6" t="str">
        <f>'Data Entries'!GL464</f>
        <v/>
      </c>
    </row>
    <row r="464">
      <c r="A464" s="6" t="str">
        <f>'Data Entries'!GL465</f>
        <v/>
      </c>
    </row>
    <row r="465">
      <c r="A465" s="6" t="str">
        <f>'Data Entries'!GL466</f>
        <v/>
      </c>
    </row>
    <row r="466">
      <c r="A466" s="6" t="str">
        <f>'Data Entries'!GL467</f>
        <v/>
      </c>
    </row>
    <row r="467">
      <c r="A467" s="6" t="str">
        <f>'Data Entries'!GL468</f>
        <v/>
      </c>
    </row>
    <row r="468">
      <c r="A468" s="6" t="str">
        <f>'Data Entries'!GL469</f>
        <v/>
      </c>
    </row>
    <row r="469">
      <c r="A469" s="6" t="str">
        <f>'Data Entries'!GL470</f>
        <v/>
      </c>
    </row>
    <row r="470">
      <c r="A470" s="6" t="str">
        <f>'Data Entries'!GL471</f>
        <v/>
      </c>
    </row>
    <row r="471">
      <c r="A471" s="6" t="str">
        <f>'Data Entries'!GL472</f>
        <v/>
      </c>
    </row>
    <row r="472">
      <c r="A472" s="6" t="str">
        <f>'Data Entries'!GL473</f>
        <v/>
      </c>
    </row>
    <row r="473">
      <c r="A473" s="6" t="str">
        <f>'Data Entries'!GL474</f>
        <v/>
      </c>
    </row>
    <row r="474">
      <c r="A474" s="6" t="str">
        <f>'Data Entries'!GL475</f>
        <v/>
      </c>
    </row>
    <row r="475">
      <c r="A475" s="6" t="str">
        <f>'Data Entries'!GL476</f>
        <v/>
      </c>
    </row>
    <row r="476">
      <c r="A476" s="6" t="str">
        <f>'Data Entries'!GL477</f>
        <v/>
      </c>
    </row>
    <row r="477">
      <c r="A477" s="6" t="str">
        <f>'Data Entries'!GL478</f>
        <v/>
      </c>
    </row>
    <row r="478">
      <c r="A478" s="6" t="str">
        <f>'Data Entries'!GL479</f>
        <v/>
      </c>
    </row>
    <row r="479">
      <c r="A479" s="6" t="str">
        <f>'Data Entries'!GL480</f>
        <v/>
      </c>
    </row>
    <row r="480">
      <c r="A480" s="6" t="str">
        <f>'Data Entries'!GL481</f>
        <v/>
      </c>
    </row>
    <row r="481">
      <c r="A481" s="6" t="str">
        <f>'Data Entries'!GL482</f>
        <v/>
      </c>
    </row>
    <row r="482">
      <c r="A482" s="6" t="str">
        <f>'Data Entries'!GL483</f>
        <v/>
      </c>
    </row>
    <row r="483">
      <c r="A483" s="6" t="str">
        <f>'Data Entries'!GL484</f>
        <v/>
      </c>
    </row>
    <row r="484">
      <c r="A484" s="6" t="str">
        <f>'Data Entries'!GL485</f>
        <v/>
      </c>
    </row>
    <row r="485">
      <c r="A485" s="6" t="str">
        <f>'Data Entries'!GL486</f>
        <v/>
      </c>
    </row>
    <row r="486">
      <c r="A486" s="6" t="str">
        <f>'Data Entries'!GL487</f>
        <v/>
      </c>
    </row>
    <row r="487">
      <c r="A487" s="6" t="str">
        <f>'Data Entries'!GL488</f>
        <v/>
      </c>
    </row>
    <row r="488">
      <c r="A488" s="6" t="str">
        <f>'Data Entries'!GL489</f>
        <v/>
      </c>
    </row>
    <row r="489">
      <c r="A489" s="6" t="str">
        <f>'Data Entries'!GL490</f>
        <v/>
      </c>
    </row>
    <row r="490">
      <c r="A490" s="6" t="str">
        <f>'Data Entries'!GL491</f>
        <v/>
      </c>
    </row>
    <row r="491">
      <c r="A491" s="6" t="str">
        <f>'Data Entries'!GL492</f>
        <v/>
      </c>
    </row>
    <row r="492">
      <c r="A492" s="6" t="str">
        <f>'Data Entries'!GL493</f>
        <v/>
      </c>
    </row>
    <row r="493">
      <c r="A493" s="6" t="str">
        <f>'Data Entries'!GL494</f>
        <v/>
      </c>
    </row>
    <row r="494">
      <c r="A494" s="6" t="str">
        <f>'Data Entries'!GL495</f>
        <v/>
      </c>
    </row>
    <row r="495">
      <c r="A495" s="6" t="str">
        <f>'Data Entries'!GL496</f>
        <v/>
      </c>
    </row>
    <row r="496">
      <c r="A496" s="6" t="str">
        <f>'Data Entries'!GL497</f>
        <v/>
      </c>
    </row>
    <row r="497">
      <c r="A497" s="6" t="str">
        <f>'Data Entries'!GL498</f>
        <v/>
      </c>
    </row>
    <row r="498">
      <c r="A498" s="6" t="str">
        <f>'Data Entries'!GL499</f>
        <v/>
      </c>
    </row>
    <row r="499">
      <c r="A499" s="6" t="str">
        <f>'Data Entries'!GL500</f>
        <v/>
      </c>
    </row>
    <row r="500">
      <c r="A500" s="6" t="str">
        <f>'Data Entries'!GL501</f>
        <v/>
      </c>
    </row>
    <row r="501">
      <c r="A501" s="6" t="str">
        <f>'Data Entries'!GL502</f>
        <v/>
      </c>
    </row>
    <row r="502">
      <c r="A502" s="6" t="str">
        <f>'Data Entries'!GL503</f>
        <v/>
      </c>
    </row>
    <row r="503">
      <c r="A503" s="6" t="str">
        <f>'Data Entries'!GL504</f>
        <v/>
      </c>
    </row>
    <row r="504">
      <c r="A504" s="6" t="str">
        <f>'Data Entries'!GL505</f>
        <v/>
      </c>
    </row>
    <row r="505">
      <c r="A505" s="6" t="str">
        <f>'Data Entries'!GL506</f>
        <v/>
      </c>
    </row>
    <row r="506">
      <c r="A506" s="6" t="str">
        <f>'Data Entries'!GL507</f>
        <v/>
      </c>
    </row>
    <row r="507">
      <c r="A507" s="6" t="str">
        <f>'Data Entries'!GL508</f>
        <v/>
      </c>
    </row>
    <row r="508">
      <c r="A508" s="6" t="str">
        <f>'Data Entries'!GL509</f>
        <v/>
      </c>
    </row>
    <row r="509">
      <c r="A509" s="6" t="str">
        <f>'Data Entries'!GL510</f>
        <v/>
      </c>
    </row>
    <row r="510">
      <c r="A510" s="6" t="str">
        <f>'Data Entries'!GL511</f>
        <v/>
      </c>
    </row>
    <row r="511">
      <c r="A511" s="6" t="str">
        <f>'Data Entries'!GL512</f>
        <v/>
      </c>
    </row>
    <row r="512">
      <c r="A512" s="6" t="str">
        <f>'Data Entries'!GL513</f>
        <v/>
      </c>
    </row>
    <row r="513">
      <c r="A513" s="6" t="str">
        <f>'Data Entries'!GL514</f>
        <v/>
      </c>
    </row>
    <row r="514">
      <c r="A514" s="6" t="str">
        <f>'Data Entries'!GL515</f>
        <v/>
      </c>
    </row>
    <row r="515">
      <c r="A515" s="6" t="str">
        <f>'Data Entries'!GL516</f>
        <v/>
      </c>
    </row>
    <row r="516">
      <c r="A516" s="6" t="str">
        <f>'Data Entries'!GL517</f>
        <v/>
      </c>
    </row>
    <row r="517">
      <c r="A517" s="6" t="str">
        <f>'Data Entries'!GL518</f>
        <v/>
      </c>
    </row>
    <row r="518">
      <c r="A518" s="6" t="str">
        <f>'Data Entries'!GL519</f>
        <v/>
      </c>
    </row>
    <row r="519">
      <c r="A519" s="6" t="str">
        <f>'Data Entries'!GL520</f>
        <v/>
      </c>
    </row>
    <row r="520">
      <c r="A520" s="6" t="str">
        <f>'Data Entries'!GL521</f>
        <v/>
      </c>
    </row>
    <row r="521">
      <c r="A521" s="6" t="str">
        <f>'Data Entries'!GL522</f>
        <v/>
      </c>
    </row>
    <row r="522">
      <c r="A522" s="6" t="str">
        <f>'Data Entries'!GL523</f>
        <v/>
      </c>
    </row>
    <row r="523">
      <c r="A523" s="6" t="str">
        <f>'Data Entries'!GL524</f>
        <v/>
      </c>
    </row>
    <row r="524">
      <c r="A524" s="6" t="str">
        <f>'Data Entries'!GL525</f>
        <v/>
      </c>
    </row>
    <row r="525">
      <c r="A525" s="6" t="str">
        <f>'Data Entries'!GL526</f>
        <v/>
      </c>
    </row>
    <row r="526">
      <c r="A526" s="6" t="str">
        <f>'Data Entries'!GL527</f>
        <v/>
      </c>
    </row>
    <row r="527">
      <c r="A527" s="6" t="str">
        <f>'Data Entries'!GL528</f>
        <v/>
      </c>
    </row>
    <row r="528">
      <c r="A528" s="6" t="str">
        <f>'Data Entries'!GL529</f>
        <v/>
      </c>
    </row>
    <row r="529">
      <c r="A529" s="6" t="str">
        <f>'Data Entries'!GL530</f>
        <v/>
      </c>
    </row>
    <row r="530">
      <c r="A530" s="6" t="str">
        <f>'Data Entries'!GL531</f>
        <v/>
      </c>
    </row>
    <row r="531">
      <c r="A531" s="6" t="str">
        <f>'Data Entries'!GL532</f>
        <v/>
      </c>
    </row>
    <row r="532">
      <c r="A532" s="6" t="str">
        <f>'Data Entries'!GL533</f>
        <v/>
      </c>
    </row>
    <row r="533">
      <c r="A533" s="6" t="str">
        <f>'Data Entries'!GL534</f>
        <v/>
      </c>
    </row>
    <row r="534">
      <c r="A534" s="6" t="str">
        <f>'Data Entries'!GL535</f>
        <v/>
      </c>
    </row>
    <row r="535">
      <c r="A535" s="6" t="str">
        <f>'Data Entries'!GL536</f>
        <v/>
      </c>
    </row>
    <row r="536">
      <c r="A536" s="6" t="str">
        <f>'Data Entries'!GL537</f>
        <v/>
      </c>
    </row>
    <row r="537">
      <c r="A537" s="6" t="str">
        <f>'Data Entries'!GL538</f>
        <v/>
      </c>
    </row>
    <row r="538">
      <c r="A538" s="6" t="str">
        <f>'Data Entries'!GL539</f>
        <v/>
      </c>
    </row>
    <row r="539">
      <c r="A539" s="6" t="str">
        <f>'Data Entries'!GL540</f>
        <v/>
      </c>
    </row>
    <row r="540">
      <c r="A540" s="6" t="str">
        <f>'Data Entries'!GL541</f>
        <v/>
      </c>
    </row>
    <row r="541">
      <c r="A541" s="6" t="str">
        <f>'Data Entries'!GL542</f>
        <v/>
      </c>
    </row>
    <row r="542">
      <c r="A542" s="6" t="str">
        <f>'Data Entries'!GL543</f>
        <v/>
      </c>
    </row>
    <row r="543">
      <c r="A543" s="6" t="str">
        <f>'Data Entries'!GL544</f>
        <v/>
      </c>
    </row>
    <row r="544">
      <c r="A544" s="6" t="str">
        <f>'Data Entries'!GL545</f>
        <v/>
      </c>
    </row>
    <row r="545">
      <c r="A545" s="6" t="str">
        <f>'Data Entries'!GL546</f>
        <v/>
      </c>
    </row>
    <row r="546">
      <c r="A546" s="6" t="str">
        <f>'Data Entries'!GL547</f>
        <v/>
      </c>
    </row>
    <row r="547">
      <c r="A547" s="6" t="str">
        <f>'Data Entries'!GL548</f>
        <v/>
      </c>
    </row>
    <row r="548">
      <c r="A548" s="6" t="str">
        <f>'Data Entries'!GL549</f>
        <v/>
      </c>
    </row>
    <row r="549">
      <c r="A549" s="6" t="str">
        <f>'Data Entries'!GL550</f>
        <v/>
      </c>
    </row>
    <row r="550">
      <c r="A550" s="6" t="str">
        <f>'Data Entries'!GL551</f>
        <v/>
      </c>
    </row>
    <row r="551">
      <c r="A551" s="6" t="str">
        <f>'Data Entries'!GL552</f>
        <v/>
      </c>
    </row>
    <row r="552">
      <c r="A552" s="6" t="str">
        <f>'Data Entries'!GL553</f>
        <v/>
      </c>
    </row>
    <row r="553">
      <c r="A553" s="6" t="str">
        <f>'Data Entries'!GL554</f>
        <v/>
      </c>
    </row>
    <row r="554">
      <c r="A554" s="6" t="str">
        <f>'Data Entries'!GL555</f>
        <v/>
      </c>
    </row>
    <row r="555">
      <c r="A555" s="6" t="str">
        <f>'Data Entries'!GL556</f>
        <v/>
      </c>
    </row>
    <row r="556">
      <c r="A556" s="6" t="str">
        <f>'Data Entries'!GL557</f>
        <v/>
      </c>
    </row>
    <row r="557">
      <c r="A557" s="6" t="str">
        <f>'Data Entries'!GL558</f>
        <v/>
      </c>
    </row>
    <row r="558">
      <c r="A558" s="6" t="str">
        <f>'Data Entries'!GL559</f>
        <v/>
      </c>
    </row>
    <row r="559">
      <c r="A559" s="6" t="str">
        <f>'Data Entries'!GL560</f>
        <v/>
      </c>
    </row>
    <row r="560">
      <c r="A560" s="6" t="str">
        <f>'Data Entries'!GL561</f>
        <v/>
      </c>
    </row>
    <row r="561">
      <c r="A561" s="6" t="str">
        <f>'Data Entries'!GL562</f>
        <v/>
      </c>
    </row>
    <row r="562">
      <c r="A562" s="6" t="str">
        <f>'Data Entries'!GL563</f>
        <v/>
      </c>
    </row>
    <row r="563">
      <c r="A563" s="6" t="str">
        <f>'Data Entries'!GL564</f>
        <v/>
      </c>
    </row>
    <row r="564">
      <c r="A564" s="6" t="str">
        <f>'Data Entries'!GL565</f>
        <v/>
      </c>
    </row>
    <row r="565">
      <c r="A565" s="6" t="str">
        <f>'Data Entries'!GL566</f>
        <v/>
      </c>
    </row>
    <row r="566">
      <c r="A566" s="6" t="str">
        <f>'Data Entries'!GL567</f>
        <v/>
      </c>
    </row>
    <row r="567">
      <c r="A567" s="6" t="str">
        <f>'Data Entries'!GL568</f>
        <v/>
      </c>
    </row>
    <row r="568">
      <c r="A568" s="6" t="str">
        <f>'Data Entries'!GL569</f>
        <v/>
      </c>
    </row>
    <row r="569">
      <c r="A569" s="6" t="str">
        <f>'Data Entries'!GL570</f>
        <v/>
      </c>
    </row>
    <row r="570">
      <c r="A570" s="6" t="str">
        <f>'Data Entries'!GL571</f>
        <v/>
      </c>
    </row>
    <row r="571">
      <c r="A571" s="6" t="str">
        <f>'Data Entries'!GL572</f>
        <v/>
      </c>
    </row>
    <row r="572">
      <c r="A572" s="6" t="str">
        <f>'Data Entries'!GL573</f>
        <v/>
      </c>
    </row>
    <row r="573">
      <c r="A573" s="6" t="str">
        <f>'Data Entries'!GL574</f>
        <v/>
      </c>
    </row>
    <row r="574">
      <c r="A574" s="6" t="str">
        <f>'Data Entries'!GL575</f>
        <v/>
      </c>
    </row>
    <row r="575">
      <c r="A575" s="6" t="str">
        <f>'Data Entries'!GL576</f>
        <v/>
      </c>
    </row>
    <row r="576">
      <c r="A576" s="6" t="str">
        <f>'Data Entries'!GL577</f>
        <v/>
      </c>
    </row>
    <row r="577">
      <c r="A577" s="6" t="str">
        <f>'Data Entries'!GL578</f>
        <v/>
      </c>
    </row>
    <row r="578">
      <c r="A578" s="6" t="str">
        <f>'Data Entries'!GL579</f>
        <v/>
      </c>
    </row>
    <row r="579">
      <c r="A579" s="6" t="str">
        <f>'Data Entries'!GL580</f>
        <v/>
      </c>
    </row>
    <row r="580">
      <c r="A580" s="6" t="str">
        <f>'Data Entries'!GL581</f>
        <v/>
      </c>
    </row>
    <row r="581">
      <c r="A581" s="6" t="str">
        <f>'Data Entries'!GL582</f>
        <v/>
      </c>
    </row>
    <row r="582">
      <c r="A582" s="6" t="str">
        <f>'Data Entries'!GL583</f>
        <v/>
      </c>
    </row>
    <row r="583">
      <c r="A583" s="6" t="str">
        <f>'Data Entries'!GL584</f>
        <v/>
      </c>
    </row>
    <row r="584">
      <c r="A584" s="6" t="str">
        <f>'Data Entries'!GL585</f>
        <v/>
      </c>
    </row>
    <row r="585">
      <c r="A585" s="6" t="str">
        <f>'Data Entries'!GL586</f>
        <v/>
      </c>
    </row>
    <row r="586">
      <c r="A586" s="6" t="str">
        <f>'Data Entries'!GL587</f>
        <v/>
      </c>
    </row>
    <row r="587">
      <c r="A587" s="6" t="str">
        <f>'Data Entries'!GL588</f>
        <v/>
      </c>
    </row>
    <row r="588">
      <c r="A588" s="6" t="str">
        <f>'Data Entries'!GL589</f>
        <v/>
      </c>
    </row>
    <row r="589">
      <c r="A589" s="6" t="str">
        <f>'Data Entries'!GL590</f>
        <v/>
      </c>
    </row>
    <row r="590">
      <c r="A590" s="6" t="str">
        <f>'Data Entries'!GL591</f>
        <v/>
      </c>
    </row>
    <row r="591">
      <c r="A591" s="6" t="str">
        <f>'Data Entries'!GL592</f>
        <v/>
      </c>
    </row>
    <row r="592">
      <c r="A592" s="6" t="str">
        <f>'Data Entries'!GL593</f>
        <v/>
      </c>
    </row>
    <row r="593">
      <c r="A593" s="6" t="str">
        <f>'Data Entries'!GL594</f>
        <v/>
      </c>
    </row>
    <row r="594">
      <c r="A594" s="6" t="str">
        <f>'Data Entries'!GL595</f>
        <v/>
      </c>
    </row>
    <row r="595">
      <c r="A595" s="6" t="str">
        <f>'Data Entries'!GL596</f>
        <v/>
      </c>
    </row>
    <row r="596">
      <c r="A596" s="6" t="str">
        <f>'Data Entries'!GL597</f>
        <v/>
      </c>
    </row>
    <row r="597">
      <c r="A597" s="6" t="str">
        <f>'Data Entries'!GL598</f>
        <v/>
      </c>
    </row>
    <row r="598">
      <c r="A598" s="6" t="str">
        <f>'Data Entries'!GL599</f>
        <v/>
      </c>
    </row>
    <row r="599">
      <c r="A599" s="6" t="str">
        <f>'Data Entries'!GL600</f>
        <v/>
      </c>
    </row>
    <row r="600">
      <c r="A600" s="6" t="str">
        <f>'Data Entries'!GL601</f>
        <v/>
      </c>
    </row>
    <row r="601">
      <c r="A601" s="6" t="str">
        <f>'Data Entries'!GL602</f>
        <v/>
      </c>
    </row>
    <row r="602">
      <c r="A602" s="6" t="str">
        <f>'Data Entries'!GL603</f>
        <v/>
      </c>
    </row>
    <row r="603">
      <c r="A603" s="6" t="str">
        <f>'Data Entries'!GL604</f>
        <v/>
      </c>
    </row>
    <row r="604">
      <c r="A604" s="6" t="str">
        <f>'Data Entries'!GL605</f>
        <v/>
      </c>
    </row>
    <row r="605">
      <c r="A605" s="6" t="str">
        <f>'Data Entries'!GL606</f>
        <v/>
      </c>
    </row>
    <row r="606">
      <c r="A606" s="6" t="str">
        <f>'Data Entries'!GL607</f>
        <v/>
      </c>
    </row>
    <row r="607">
      <c r="A607" s="6" t="str">
        <f>'Data Entries'!GL608</f>
        <v/>
      </c>
    </row>
    <row r="608">
      <c r="A608" s="6" t="str">
        <f>'Data Entries'!GL609</f>
        <v/>
      </c>
    </row>
    <row r="609">
      <c r="A609" s="6" t="str">
        <f>'Data Entries'!GL610</f>
        <v/>
      </c>
    </row>
    <row r="610">
      <c r="A610" s="6" t="str">
        <f>'Data Entries'!GL611</f>
        <v/>
      </c>
    </row>
    <row r="611">
      <c r="A611" s="6" t="str">
        <f>'Data Entries'!GL612</f>
        <v/>
      </c>
    </row>
    <row r="612">
      <c r="A612" s="6" t="str">
        <f>'Data Entries'!GL613</f>
        <v/>
      </c>
    </row>
    <row r="613">
      <c r="A613" s="6" t="str">
        <f>'Data Entries'!GL614</f>
        <v/>
      </c>
    </row>
    <row r="614">
      <c r="A614" s="6" t="str">
        <f>'Data Entries'!GL615</f>
        <v/>
      </c>
    </row>
    <row r="615">
      <c r="A615" s="6" t="str">
        <f>'Data Entries'!GL616</f>
        <v/>
      </c>
    </row>
    <row r="616">
      <c r="A616" s="6" t="str">
        <f>'Data Entries'!GL617</f>
        <v/>
      </c>
    </row>
    <row r="617">
      <c r="A617" s="6" t="str">
        <f>'Data Entries'!GL618</f>
        <v/>
      </c>
    </row>
    <row r="618">
      <c r="A618" s="6" t="str">
        <f>'Data Entries'!GL619</f>
        <v/>
      </c>
    </row>
    <row r="619">
      <c r="A619" s="6" t="str">
        <f>'Data Entries'!GL620</f>
        <v/>
      </c>
    </row>
    <row r="620">
      <c r="A620" s="6" t="str">
        <f>'Data Entries'!GL621</f>
        <v/>
      </c>
    </row>
    <row r="621">
      <c r="A621" s="6" t="str">
        <f>'Data Entries'!GL622</f>
        <v/>
      </c>
    </row>
    <row r="622">
      <c r="A622" s="6" t="str">
        <f>'Data Entries'!GL623</f>
        <v/>
      </c>
    </row>
    <row r="623">
      <c r="A623" s="6" t="str">
        <f>'Data Entries'!GL624</f>
        <v/>
      </c>
    </row>
    <row r="624">
      <c r="A624" s="6" t="str">
        <f>'Data Entries'!GL625</f>
        <v/>
      </c>
    </row>
    <row r="625">
      <c r="A625" s="6" t="str">
        <f>'Data Entries'!GL626</f>
        <v/>
      </c>
    </row>
    <row r="626">
      <c r="A626" s="6" t="str">
        <f>'Data Entries'!GL627</f>
        <v/>
      </c>
    </row>
    <row r="627">
      <c r="A627" s="6" t="str">
        <f>'Data Entries'!GL628</f>
        <v/>
      </c>
    </row>
    <row r="628">
      <c r="A628" s="6" t="str">
        <f>'Data Entries'!GL629</f>
        <v/>
      </c>
    </row>
    <row r="629">
      <c r="A629" s="6" t="str">
        <f>'Data Entries'!GL630</f>
        <v/>
      </c>
    </row>
    <row r="630">
      <c r="A630" s="6" t="str">
        <f>'Data Entries'!GL631</f>
        <v/>
      </c>
    </row>
    <row r="631">
      <c r="A631" s="6" t="str">
        <f>'Data Entries'!GL632</f>
        <v/>
      </c>
    </row>
    <row r="632">
      <c r="A632" s="6" t="str">
        <f>'Data Entries'!GL633</f>
        <v/>
      </c>
    </row>
    <row r="633">
      <c r="A633" s="6" t="str">
        <f>'Data Entries'!GL634</f>
        <v/>
      </c>
    </row>
    <row r="634">
      <c r="A634" s="6" t="str">
        <f>'Data Entries'!GL635</f>
        <v/>
      </c>
    </row>
    <row r="635">
      <c r="A635" s="6" t="str">
        <f>'Data Entries'!GL636</f>
        <v/>
      </c>
    </row>
    <row r="636">
      <c r="A636" s="6" t="str">
        <f>'Data Entries'!GL637</f>
        <v/>
      </c>
    </row>
    <row r="637">
      <c r="A637" s="6" t="str">
        <f>'Data Entries'!GL638</f>
        <v/>
      </c>
    </row>
    <row r="638">
      <c r="A638" s="6" t="str">
        <f>'Data Entries'!GL639</f>
        <v/>
      </c>
    </row>
    <row r="639">
      <c r="A639" s="6" t="str">
        <f>'Data Entries'!GL640</f>
        <v/>
      </c>
    </row>
    <row r="640">
      <c r="A640" s="6" t="str">
        <f>'Data Entries'!GL641</f>
        <v/>
      </c>
    </row>
    <row r="641">
      <c r="A641" s="6" t="str">
        <f>'Data Entries'!GL642</f>
        <v/>
      </c>
    </row>
    <row r="642">
      <c r="A642" s="6" t="str">
        <f>'Data Entries'!GL643</f>
        <v/>
      </c>
    </row>
    <row r="643">
      <c r="A643" s="6" t="str">
        <f>'Data Entries'!GL644</f>
        <v/>
      </c>
    </row>
    <row r="644">
      <c r="A644" s="6" t="str">
        <f>'Data Entries'!GL645</f>
        <v/>
      </c>
    </row>
    <row r="645">
      <c r="A645" s="6" t="str">
        <f>'Data Entries'!GL646</f>
        <v/>
      </c>
    </row>
    <row r="646">
      <c r="A646" s="6" t="str">
        <f>'Data Entries'!GL647</f>
        <v/>
      </c>
    </row>
    <row r="647">
      <c r="A647" s="6" t="str">
        <f>'Data Entries'!GL648</f>
        <v/>
      </c>
    </row>
    <row r="648">
      <c r="A648" s="6" t="str">
        <f>'Data Entries'!GL649</f>
        <v/>
      </c>
    </row>
    <row r="649">
      <c r="A649" s="6" t="str">
        <f>'Data Entries'!GL650</f>
        <v/>
      </c>
    </row>
    <row r="650">
      <c r="A650" s="6" t="str">
        <f>'Data Entries'!GL651</f>
        <v/>
      </c>
    </row>
    <row r="651">
      <c r="A651" s="6" t="str">
        <f>'Data Entries'!GL652</f>
        <v/>
      </c>
    </row>
    <row r="652">
      <c r="A652" s="6" t="str">
        <f>'Data Entries'!GL653</f>
        <v/>
      </c>
    </row>
    <row r="653">
      <c r="A653" s="6" t="str">
        <f>'Data Entries'!GL654</f>
        <v/>
      </c>
    </row>
    <row r="654">
      <c r="A654" s="6" t="str">
        <f>'Data Entries'!GL655</f>
        <v/>
      </c>
    </row>
    <row r="655">
      <c r="A655" s="6" t="str">
        <f>'Data Entries'!GL656</f>
        <v/>
      </c>
    </row>
    <row r="656">
      <c r="A656" s="6" t="str">
        <f>'Data Entries'!GL657</f>
        <v/>
      </c>
    </row>
    <row r="657">
      <c r="A657" s="6" t="str">
        <f>'Data Entries'!GL658</f>
        <v/>
      </c>
    </row>
    <row r="658">
      <c r="A658" s="6" t="str">
        <f>'Data Entries'!GL659</f>
        <v/>
      </c>
    </row>
    <row r="659">
      <c r="A659" s="6" t="str">
        <f>'Data Entries'!GL660</f>
        <v/>
      </c>
    </row>
    <row r="660">
      <c r="A660" s="6" t="str">
        <f>'Data Entries'!GL661</f>
        <v/>
      </c>
    </row>
    <row r="661">
      <c r="A661" s="6" t="str">
        <f>'Data Entries'!GL662</f>
        <v/>
      </c>
    </row>
    <row r="662">
      <c r="A662" s="6" t="str">
        <f>'Data Entries'!GL663</f>
        <v/>
      </c>
    </row>
    <row r="663">
      <c r="A663" s="6" t="str">
        <f>'Data Entries'!GL664</f>
        <v/>
      </c>
    </row>
    <row r="664">
      <c r="A664" s="6" t="str">
        <f>'Data Entries'!GL665</f>
        <v/>
      </c>
    </row>
    <row r="665">
      <c r="A665" s="6" t="str">
        <f>'Data Entries'!GL666</f>
        <v/>
      </c>
    </row>
    <row r="666">
      <c r="A666" s="6" t="str">
        <f>'Data Entries'!GL667</f>
        <v/>
      </c>
    </row>
    <row r="667">
      <c r="A667" s="6" t="str">
        <f>'Data Entries'!GL668</f>
        <v/>
      </c>
    </row>
    <row r="668">
      <c r="A668" s="6" t="str">
        <f>'Data Entries'!GL669</f>
        <v/>
      </c>
    </row>
    <row r="669">
      <c r="A669" s="6" t="str">
        <f>'Data Entries'!GL670</f>
        <v/>
      </c>
    </row>
    <row r="670">
      <c r="A670" s="6" t="str">
        <f>'Data Entries'!GL671</f>
        <v/>
      </c>
    </row>
    <row r="671">
      <c r="A671" s="6" t="str">
        <f>'Data Entries'!GL672</f>
        <v/>
      </c>
    </row>
    <row r="672">
      <c r="A672" s="6" t="str">
        <f>'Data Entries'!GL673</f>
        <v/>
      </c>
    </row>
    <row r="673">
      <c r="A673" s="6" t="str">
        <f>'Data Entries'!GL674</f>
        <v/>
      </c>
    </row>
    <row r="674">
      <c r="A674" s="6" t="str">
        <f>'Data Entries'!GL675</f>
        <v/>
      </c>
    </row>
    <row r="675">
      <c r="A675" s="6" t="str">
        <f>'Data Entries'!GL676</f>
        <v/>
      </c>
    </row>
    <row r="676">
      <c r="A676" s="6" t="str">
        <f>'Data Entries'!GL677</f>
        <v/>
      </c>
    </row>
    <row r="677">
      <c r="A677" s="6" t="str">
        <f>'Data Entries'!GL678</f>
        <v/>
      </c>
    </row>
    <row r="678">
      <c r="A678" s="6" t="str">
        <f>'Data Entries'!GL679</f>
        <v/>
      </c>
    </row>
    <row r="679">
      <c r="A679" s="6" t="str">
        <f>'Data Entries'!GL680</f>
        <v/>
      </c>
    </row>
    <row r="680">
      <c r="A680" s="6" t="str">
        <f>'Data Entries'!GL681</f>
        <v/>
      </c>
    </row>
    <row r="681">
      <c r="A681" s="6" t="str">
        <f>'Data Entries'!GL682</f>
        <v/>
      </c>
    </row>
    <row r="682">
      <c r="A682" s="6" t="str">
        <f>'Data Entries'!GL683</f>
        <v/>
      </c>
    </row>
    <row r="683">
      <c r="A683" s="6" t="str">
        <f>'Data Entries'!GL684</f>
        <v/>
      </c>
    </row>
    <row r="684">
      <c r="A684" s="6" t="str">
        <f>'Data Entries'!GL685</f>
        <v/>
      </c>
    </row>
    <row r="685">
      <c r="A685" s="6" t="str">
        <f>'Data Entries'!GL686</f>
        <v/>
      </c>
    </row>
    <row r="686">
      <c r="A686" s="6" t="str">
        <f>'Data Entries'!GL687</f>
        <v/>
      </c>
    </row>
    <row r="687">
      <c r="A687" s="6" t="str">
        <f>'Data Entries'!GL688</f>
        <v/>
      </c>
    </row>
    <row r="688">
      <c r="A688" s="6" t="str">
        <f>'Data Entries'!GL689</f>
        <v/>
      </c>
    </row>
    <row r="689">
      <c r="A689" s="6" t="str">
        <f>'Data Entries'!GL690</f>
        <v/>
      </c>
    </row>
    <row r="690">
      <c r="A690" s="6" t="str">
        <f>'Data Entries'!GL691</f>
        <v/>
      </c>
    </row>
    <row r="691">
      <c r="A691" s="6" t="str">
        <f>'Data Entries'!GL692</f>
        <v/>
      </c>
    </row>
    <row r="692">
      <c r="A692" s="6" t="str">
        <f>'Data Entries'!GL693</f>
        <v/>
      </c>
    </row>
    <row r="693">
      <c r="A693" s="6" t="str">
        <f>'Data Entries'!GL694</f>
        <v/>
      </c>
    </row>
    <row r="694">
      <c r="A694" s="6" t="str">
        <f>'Data Entries'!GL695</f>
        <v/>
      </c>
    </row>
    <row r="695">
      <c r="A695" s="6" t="str">
        <f>'Data Entries'!GL696</f>
        <v/>
      </c>
    </row>
    <row r="696">
      <c r="A696" s="6" t="str">
        <f>'Data Entries'!GL697</f>
        <v/>
      </c>
    </row>
    <row r="697">
      <c r="A697" s="6" t="str">
        <f>'Data Entries'!GL698</f>
        <v/>
      </c>
    </row>
    <row r="698">
      <c r="A698" s="6" t="str">
        <f>'Data Entries'!GL699</f>
        <v/>
      </c>
    </row>
    <row r="699">
      <c r="A699" s="6" t="str">
        <f>'Data Entries'!GL700</f>
        <v/>
      </c>
    </row>
    <row r="700">
      <c r="A700" s="6" t="str">
        <f>'Data Entries'!GL701</f>
        <v/>
      </c>
    </row>
    <row r="701">
      <c r="A701" s="6" t="str">
        <f>'Data Entries'!GL702</f>
        <v/>
      </c>
    </row>
    <row r="702">
      <c r="A702" s="6" t="str">
        <f>'Data Entries'!GL703</f>
        <v/>
      </c>
    </row>
    <row r="703">
      <c r="A703" s="6" t="str">
        <f>'Data Entries'!GL704</f>
        <v/>
      </c>
    </row>
    <row r="704">
      <c r="A704" s="6" t="str">
        <f>'Data Entries'!GL705</f>
        <v/>
      </c>
    </row>
    <row r="705">
      <c r="A705" s="6" t="str">
        <f>'Data Entries'!GL706</f>
        <v/>
      </c>
    </row>
    <row r="706">
      <c r="A706" s="6" t="str">
        <f>'Data Entries'!GL707</f>
        <v/>
      </c>
    </row>
    <row r="707">
      <c r="A707" s="6" t="str">
        <f>'Data Entries'!GL708</f>
        <v/>
      </c>
    </row>
    <row r="708">
      <c r="A708" s="6" t="str">
        <f>'Data Entries'!GL709</f>
        <v/>
      </c>
    </row>
    <row r="709">
      <c r="A709" s="6" t="str">
        <f>'Data Entries'!GL710</f>
        <v/>
      </c>
    </row>
    <row r="710">
      <c r="A710" s="6" t="str">
        <f>'Data Entries'!GL711</f>
        <v/>
      </c>
    </row>
    <row r="711">
      <c r="A711" s="6" t="str">
        <f>'Data Entries'!GL712</f>
        <v/>
      </c>
    </row>
    <row r="712">
      <c r="A712" s="6" t="str">
        <f>'Data Entries'!GL713</f>
        <v/>
      </c>
    </row>
    <row r="713">
      <c r="A713" s="6" t="str">
        <f>'Data Entries'!GL714</f>
        <v/>
      </c>
    </row>
    <row r="714">
      <c r="A714" s="6" t="str">
        <f>'Data Entries'!GL715</f>
        <v/>
      </c>
    </row>
    <row r="715">
      <c r="A715" s="6" t="str">
        <f>'Data Entries'!GL716</f>
        <v/>
      </c>
    </row>
    <row r="716">
      <c r="A716" s="6" t="str">
        <f>'Data Entries'!GL717</f>
        <v/>
      </c>
    </row>
    <row r="717">
      <c r="A717" s="6" t="str">
        <f>'Data Entries'!GL718</f>
        <v/>
      </c>
    </row>
    <row r="718">
      <c r="A718" s="6" t="str">
        <f>'Data Entries'!GL719</f>
        <v/>
      </c>
    </row>
    <row r="719">
      <c r="A719" s="6" t="str">
        <f>'Data Entries'!GL720</f>
        <v/>
      </c>
    </row>
    <row r="720">
      <c r="A720" s="6" t="str">
        <f>'Data Entries'!GL721</f>
        <v/>
      </c>
    </row>
    <row r="721">
      <c r="A721" s="6" t="str">
        <f>'Data Entries'!GL722</f>
        <v/>
      </c>
    </row>
    <row r="722">
      <c r="A722" s="6" t="str">
        <f>'Data Entries'!GL723</f>
        <v/>
      </c>
    </row>
    <row r="723">
      <c r="A723" s="6" t="str">
        <f>'Data Entries'!GL724</f>
        <v/>
      </c>
    </row>
    <row r="724">
      <c r="A724" s="6" t="str">
        <f>'Data Entries'!GL725</f>
        <v/>
      </c>
    </row>
    <row r="725">
      <c r="A725" s="6" t="str">
        <f>'Data Entries'!GL726</f>
        <v/>
      </c>
    </row>
    <row r="726">
      <c r="A726" s="6" t="str">
        <f>'Data Entries'!GL727</f>
        <v/>
      </c>
    </row>
    <row r="727">
      <c r="A727" s="6" t="str">
        <f>'Data Entries'!GL728</f>
        <v/>
      </c>
    </row>
    <row r="728">
      <c r="A728" s="6" t="str">
        <f>'Data Entries'!GL729</f>
        <v/>
      </c>
    </row>
    <row r="729">
      <c r="A729" s="6" t="str">
        <f>'Data Entries'!GL730</f>
        <v/>
      </c>
    </row>
    <row r="730">
      <c r="A730" s="6" t="str">
        <f>'Data Entries'!GL731</f>
        <v/>
      </c>
    </row>
    <row r="731">
      <c r="A731" s="6" t="str">
        <f>'Data Entries'!GL732</f>
        <v/>
      </c>
    </row>
    <row r="732">
      <c r="A732" s="6" t="str">
        <f>'Data Entries'!GL733</f>
        <v/>
      </c>
    </row>
    <row r="733">
      <c r="A733" s="6" t="str">
        <f>'Data Entries'!GL734</f>
        <v/>
      </c>
    </row>
    <row r="734">
      <c r="A734" s="6" t="str">
        <f>'Data Entries'!GL735</f>
        <v/>
      </c>
    </row>
    <row r="735">
      <c r="A735" s="6" t="str">
        <f>'Data Entries'!GL736</f>
        <v/>
      </c>
    </row>
    <row r="736">
      <c r="A736" s="6" t="str">
        <f>'Data Entries'!GL737</f>
        <v/>
      </c>
    </row>
    <row r="737">
      <c r="A737" s="6" t="str">
        <f>'Data Entries'!GL738</f>
        <v/>
      </c>
    </row>
    <row r="738">
      <c r="A738" s="6" t="str">
        <f>'Data Entries'!GL739</f>
        <v/>
      </c>
    </row>
    <row r="739">
      <c r="A739" s="6" t="str">
        <f>'Data Entries'!GL740</f>
        <v/>
      </c>
    </row>
    <row r="740">
      <c r="A740" s="6" t="str">
        <f>'Data Entries'!GL741</f>
        <v/>
      </c>
    </row>
    <row r="741">
      <c r="A741" s="6" t="str">
        <f>'Data Entries'!GL742</f>
        <v/>
      </c>
    </row>
    <row r="742">
      <c r="A742" s="6" t="str">
        <f>'Data Entries'!GL743</f>
        <v/>
      </c>
    </row>
    <row r="743">
      <c r="A743" s="6" t="str">
        <f>'Data Entries'!GL744</f>
        <v/>
      </c>
    </row>
    <row r="744">
      <c r="A744" s="6" t="str">
        <f>'Data Entries'!GL745</f>
        <v/>
      </c>
    </row>
    <row r="745">
      <c r="A745" s="6" t="str">
        <f>'Data Entries'!GL746</f>
        <v/>
      </c>
    </row>
    <row r="746">
      <c r="A746" s="6" t="str">
        <f>'Data Entries'!GL747</f>
        <v/>
      </c>
    </row>
    <row r="747">
      <c r="A747" s="6" t="str">
        <f>'Data Entries'!GL748</f>
        <v/>
      </c>
    </row>
    <row r="748">
      <c r="A748" s="6" t="str">
        <f>'Data Entries'!GL749</f>
        <v/>
      </c>
    </row>
    <row r="749">
      <c r="A749" s="6" t="str">
        <f>'Data Entries'!GL750</f>
        <v/>
      </c>
    </row>
    <row r="750">
      <c r="A750" s="6" t="str">
        <f>'Data Entries'!GL751</f>
        <v/>
      </c>
    </row>
    <row r="751">
      <c r="A751" s="6" t="str">
        <f>'Data Entries'!GL752</f>
        <v/>
      </c>
    </row>
    <row r="752">
      <c r="A752" s="6" t="str">
        <f>'Data Entries'!GL753</f>
        <v/>
      </c>
    </row>
    <row r="753">
      <c r="A753" s="6" t="str">
        <f>'Data Entries'!GL754</f>
        <v/>
      </c>
    </row>
    <row r="754">
      <c r="A754" s="6" t="str">
        <f>'Data Entries'!GL755</f>
        <v/>
      </c>
    </row>
    <row r="755">
      <c r="A755" s="6" t="str">
        <f>'Data Entries'!GL756</f>
        <v/>
      </c>
    </row>
    <row r="756">
      <c r="A756" s="6" t="str">
        <f>'Data Entries'!GL757</f>
        <v/>
      </c>
    </row>
    <row r="757">
      <c r="A757" s="6" t="str">
        <f>'Data Entries'!GL758</f>
        <v/>
      </c>
    </row>
    <row r="758">
      <c r="A758" s="6" t="str">
        <f>'Data Entries'!GL759</f>
        <v/>
      </c>
    </row>
    <row r="759">
      <c r="A759" s="6" t="str">
        <f>'Data Entries'!GL760</f>
        <v/>
      </c>
    </row>
    <row r="760">
      <c r="A760" s="6" t="str">
        <f>'Data Entries'!GL761</f>
        <v/>
      </c>
    </row>
    <row r="761">
      <c r="A761" s="6" t="str">
        <f>'Data Entries'!GL762</f>
        <v/>
      </c>
    </row>
    <row r="762">
      <c r="A762" s="6" t="str">
        <f>'Data Entries'!GL763</f>
        <v/>
      </c>
    </row>
    <row r="763">
      <c r="A763" s="6" t="str">
        <f>'Data Entries'!GL764</f>
        <v/>
      </c>
    </row>
    <row r="764">
      <c r="A764" s="6" t="str">
        <f>'Data Entries'!GL765</f>
        <v/>
      </c>
    </row>
    <row r="765">
      <c r="A765" s="6" t="str">
        <f>'Data Entries'!GL766</f>
        <v/>
      </c>
    </row>
    <row r="766">
      <c r="A766" s="6" t="str">
        <f>'Data Entries'!GL767</f>
        <v/>
      </c>
    </row>
    <row r="767">
      <c r="A767" s="6" t="str">
        <f>'Data Entries'!GL768</f>
        <v/>
      </c>
    </row>
    <row r="768">
      <c r="A768" s="6" t="str">
        <f>'Data Entries'!GL769</f>
        <v/>
      </c>
    </row>
    <row r="769">
      <c r="A769" s="6" t="str">
        <f>'Data Entries'!GL770</f>
        <v/>
      </c>
    </row>
    <row r="770">
      <c r="A770" s="6" t="str">
        <f>'Data Entries'!GL771</f>
        <v/>
      </c>
    </row>
    <row r="771">
      <c r="A771" s="6" t="str">
        <f>'Data Entries'!GL772</f>
        <v/>
      </c>
    </row>
    <row r="772">
      <c r="A772" s="6" t="str">
        <f>'Data Entries'!GL773</f>
        <v/>
      </c>
    </row>
    <row r="773">
      <c r="A773" s="6" t="str">
        <f>'Data Entries'!GL774</f>
        <v/>
      </c>
    </row>
    <row r="774">
      <c r="A774" s="6" t="str">
        <f>'Data Entries'!GL775</f>
        <v/>
      </c>
    </row>
    <row r="775">
      <c r="A775" s="6" t="str">
        <f>'Data Entries'!GL776</f>
        <v/>
      </c>
    </row>
    <row r="776">
      <c r="A776" s="6" t="str">
        <f>'Data Entries'!GL777</f>
        <v/>
      </c>
    </row>
    <row r="777">
      <c r="A777" s="6" t="str">
        <f>'Data Entries'!GL778</f>
        <v/>
      </c>
    </row>
    <row r="778">
      <c r="A778" s="6" t="str">
        <f>'Data Entries'!GL779</f>
        <v/>
      </c>
    </row>
    <row r="779">
      <c r="A779" s="6" t="str">
        <f>'Data Entries'!GL780</f>
        <v/>
      </c>
    </row>
    <row r="780">
      <c r="A780" s="6" t="str">
        <f>'Data Entries'!GL781</f>
        <v/>
      </c>
    </row>
    <row r="781">
      <c r="A781" s="6" t="str">
        <f>'Data Entries'!GL782</f>
        <v/>
      </c>
    </row>
    <row r="782">
      <c r="A782" s="6" t="str">
        <f>'Data Entries'!GL783</f>
        <v/>
      </c>
    </row>
    <row r="783">
      <c r="A783" s="6" t="str">
        <f>'Data Entries'!GL784</f>
        <v/>
      </c>
    </row>
    <row r="784">
      <c r="A784" s="6" t="str">
        <f>'Data Entries'!GL785</f>
        <v/>
      </c>
    </row>
    <row r="785">
      <c r="A785" s="6" t="str">
        <f>'Data Entries'!GL786</f>
        <v/>
      </c>
    </row>
    <row r="786">
      <c r="A786" s="6" t="str">
        <f>'Data Entries'!GL787</f>
        <v/>
      </c>
    </row>
    <row r="787">
      <c r="A787" s="6" t="str">
        <f>'Data Entries'!GL788</f>
        <v/>
      </c>
    </row>
    <row r="788">
      <c r="A788" s="6" t="str">
        <f>'Data Entries'!GL789</f>
        <v/>
      </c>
    </row>
    <row r="789">
      <c r="A789" s="6" t="str">
        <f>'Data Entries'!GL790</f>
        <v/>
      </c>
    </row>
    <row r="790">
      <c r="A790" s="6" t="str">
        <f>'Data Entries'!GL791</f>
        <v/>
      </c>
    </row>
    <row r="791">
      <c r="A791" s="6" t="str">
        <f>'Data Entries'!GL792</f>
        <v/>
      </c>
    </row>
    <row r="792">
      <c r="A792" s="6" t="str">
        <f>'Data Entries'!GL793</f>
        <v/>
      </c>
    </row>
    <row r="793">
      <c r="A793" s="6" t="str">
        <f>'Data Entries'!GL794</f>
        <v/>
      </c>
    </row>
    <row r="794">
      <c r="A794" s="6" t="str">
        <f>'Data Entries'!GL795</f>
        <v/>
      </c>
    </row>
    <row r="795">
      <c r="A795" s="6" t="str">
        <f>'Data Entries'!GL796</f>
        <v/>
      </c>
    </row>
    <row r="796">
      <c r="A796" s="6" t="str">
        <f>'Data Entries'!GL797</f>
        <v/>
      </c>
    </row>
    <row r="797">
      <c r="A797" s="6" t="str">
        <f>'Data Entries'!GL798</f>
        <v/>
      </c>
    </row>
    <row r="798">
      <c r="A798" s="6" t="str">
        <f>'Data Entries'!GL799</f>
        <v/>
      </c>
    </row>
    <row r="799">
      <c r="A799" s="6" t="str">
        <f>'Data Entries'!GL800</f>
        <v/>
      </c>
    </row>
    <row r="800">
      <c r="A800" s="6" t="str">
        <f>'Data Entries'!GL801</f>
        <v/>
      </c>
    </row>
    <row r="801">
      <c r="A801" s="6" t="str">
        <f>'Data Entries'!GL802</f>
        <v/>
      </c>
    </row>
    <row r="802">
      <c r="A802" s="6" t="str">
        <f>'Data Entries'!GL803</f>
        <v/>
      </c>
    </row>
    <row r="803">
      <c r="A803" s="6" t="str">
        <f>'Data Entries'!GL804</f>
        <v/>
      </c>
    </row>
    <row r="804">
      <c r="A804" s="6" t="str">
        <f>'Data Entries'!GL805</f>
        <v/>
      </c>
    </row>
    <row r="805">
      <c r="A805" s="6" t="str">
        <f>'Data Entries'!GL806</f>
        <v/>
      </c>
    </row>
    <row r="806">
      <c r="A806" s="6" t="str">
        <f>'Data Entries'!GL807</f>
        <v/>
      </c>
    </row>
    <row r="807">
      <c r="A807" s="6" t="str">
        <f>'Data Entries'!GL808</f>
        <v/>
      </c>
    </row>
    <row r="808">
      <c r="A808" s="6" t="str">
        <f>'Data Entries'!GL809</f>
        <v/>
      </c>
    </row>
    <row r="809">
      <c r="A809" s="6" t="str">
        <f>'Data Entries'!GL810</f>
        <v/>
      </c>
    </row>
    <row r="810">
      <c r="A810" s="6" t="str">
        <f>'Data Entries'!GL811</f>
        <v/>
      </c>
    </row>
    <row r="811">
      <c r="A811" s="6" t="str">
        <f>'Data Entries'!GL812</f>
        <v/>
      </c>
    </row>
    <row r="812">
      <c r="A812" s="6" t="str">
        <f>'Data Entries'!GL813</f>
        <v/>
      </c>
    </row>
    <row r="813">
      <c r="A813" s="6" t="str">
        <f>'Data Entries'!GL814</f>
        <v/>
      </c>
    </row>
    <row r="814">
      <c r="A814" s="6" t="str">
        <f>'Data Entries'!GL815</f>
        <v/>
      </c>
    </row>
    <row r="815">
      <c r="A815" s="6" t="str">
        <f>'Data Entries'!GL816</f>
        <v/>
      </c>
    </row>
    <row r="816">
      <c r="A816" s="6" t="str">
        <f>'Data Entries'!GL817</f>
        <v/>
      </c>
    </row>
    <row r="817">
      <c r="A817" s="6" t="str">
        <f>'Data Entries'!GL818</f>
        <v/>
      </c>
    </row>
    <row r="818">
      <c r="A818" s="6" t="str">
        <f>'Data Entries'!GL819</f>
        <v/>
      </c>
    </row>
    <row r="819">
      <c r="A819" s="6" t="str">
        <f>'Data Entries'!GL820</f>
        <v/>
      </c>
    </row>
    <row r="820">
      <c r="A820" s="6" t="str">
        <f>'Data Entries'!GL821</f>
        <v/>
      </c>
    </row>
    <row r="821">
      <c r="A821" s="6" t="str">
        <f>'Data Entries'!GL822</f>
        <v/>
      </c>
    </row>
    <row r="822">
      <c r="A822" s="6" t="str">
        <f>'Data Entries'!GL823</f>
        <v/>
      </c>
    </row>
    <row r="823">
      <c r="A823" s="6" t="str">
        <f>'Data Entries'!GL824</f>
        <v/>
      </c>
    </row>
    <row r="824">
      <c r="A824" s="6" t="str">
        <f>'Data Entries'!GL825</f>
        <v/>
      </c>
    </row>
    <row r="825">
      <c r="A825" s="6" t="str">
        <f>'Data Entries'!GL826</f>
        <v/>
      </c>
    </row>
    <row r="826">
      <c r="A826" s="6" t="str">
        <f>'Data Entries'!GL827</f>
        <v/>
      </c>
    </row>
    <row r="827">
      <c r="A827" s="6" t="str">
        <f>'Data Entries'!GL828</f>
        <v/>
      </c>
    </row>
    <row r="828">
      <c r="A828" s="6" t="str">
        <f>'Data Entries'!GL829</f>
        <v/>
      </c>
    </row>
    <row r="829">
      <c r="A829" s="6" t="str">
        <f>'Data Entries'!GL830</f>
        <v/>
      </c>
    </row>
    <row r="830">
      <c r="A830" s="6" t="str">
        <f>'Data Entries'!GL831</f>
        <v/>
      </c>
    </row>
    <row r="831">
      <c r="A831" s="6" t="str">
        <f>'Data Entries'!GL832</f>
        <v/>
      </c>
    </row>
    <row r="832">
      <c r="A832" s="6" t="str">
        <f>'Data Entries'!GL833</f>
        <v/>
      </c>
    </row>
    <row r="833">
      <c r="A833" s="6" t="str">
        <f>'Data Entries'!GL834</f>
        <v/>
      </c>
    </row>
    <row r="834">
      <c r="A834" s="6" t="str">
        <f>'Data Entries'!GL835</f>
        <v/>
      </c>
    </row>
    <row r="835">
      <c r="A835" s="6" t="str">
        <f>'Data Entries'!GL836</f>
        <v/>
      </c>
    </row>
    <row r="836">
      <c r="A836" s="6" t="str">
        <f>'Data Entries'!GL837</f>
        <v/>
      </c>
    </row>
    <row r="837">
      <c r="A837" s="6" t="str">
        <f>'Data Entries'!GL838</f>
        <v/>
      </c>
    </row>
    <row r="838">
      <c r="A838" s="6" t="str">
        <f>'Data Entries'!GL839</f>
        <v/>
      </c>
    </row>
    <row r="839">
      <c r="A839" s="6" t="str">
        <f>'Data Entries'!GL840</f>
        <v/>
      </c>
    </row>
    <row r="840">
      <c r="A840" s="6" t="str">
        <f>'Data Entries'!GL841</f>
        <v/>
      </c>
    </row>
    <row r="841">
      <c r="A841" s="6" t="str">
        <f>'Data Entries'!GL842</f>
        <v/>
      </c>
    </row>
    <row r="842">
      <c r="A842" s="6" t="str">
        <f>'Data Entries'!GL843</f>
        <v/>
      </c>
    </row>
    <row r="843">
      <c r="A843" s="6" t="str">
        <f>'Data Entries'!GL844</f>
        <v/>
      </c>
    </row>
    <row r="844">
      <c r="A844" s="6" t="str">
        <f>'Data Entries'!GL845</f>
        <v/>
      </c>
    </row>
    <row r="845">
      <c r="A845" s="6" t="str">
        <f>'Data Entries'!GL846</f>
        <v/>
      </c>
    </row>
    <row r="846">
      <c r="A846" s="6" t="str">
        <f>'Data Entries'!GL847</f>
        <v/>
      </c>
    </row>
    <row r="847">
      <c r="A847" s="6" t="str">
        <f>'Data Entries'!GL848</f>
        <v/>
      </c>
    </row>
    <row r="848">
      <c r="A848" s="6" t="str">
        <f>'Data Entries'!GL849</f>
        <v/>
      </c>
    </row>
    <row r="849">
      <c r="A849" s="6" t="str">
        <f>'Data Entries'!GL850</f>
        <v/>
      </c>
    </row>
    <row r="850">
      <c r="A850" s="6" t="str">
        <f>'Data Entries'!GL851</f>
        <v/>
      </c>
    </row>
    <row r="851">
      <c r="A851" s="6" t="str">
        <f>'Data Entries'!GL852</f>
        <v/>
      </c>
    </row>
    <row r="852">
      <c r="A852" s="6" t="str">
        <f>'Data Entries'!GL853</f>
        <v/>
      </c>
    </row>
    <row r="853">
      <c r="A853" s="6" t="str">
        <f>'Data Entries'!GL854</f>
        <v/>
      </c>
    </row>
    <row r="854">
      <c r="A854" s="6" t="str">
        <f>'Data Entries'!GL855</f>
        <v/>
      </c>
    </row>
    <row r="855">
      <c r="A855" s="6" t="str">
        <f>'Data Entries'!GL856</f>
        <v/>
      </c>
    </row>
    <row r="856">
      <c r="A856" s="6" t="str">
        <f>'Data Entries'!GL857</f>
        <v/>
      </c>
    </row>
    <row r="857">
      <c r="A857" s="6" t="str">
        <f>'Data Entries'!GL858</f>
        <v/>
      </c>
    </row>
    <row r="858">
      <c r="A858" s="6" t="str">
        <f>'Data Entries'!GL859</f>
        <v/>
      </c>
    </row>
    <row r="859">
      <c r="A859" s="6" t="str">
        <f>'Data Entries'!GL860</f>
        <v/>
      </c>
    </row>
    <row r="860">
      <c r="A860" s="6" t="str">
        <f>'Data Entries'!GL861</f>
        <v/>
      </c>
    </row>
    <row r="861">
      <c r="A861" s="6" t="str">
        <f>'Data Entries'!GL862</f>
        <v/>
      </c>
    </row>
    <row r="862">
      <c r="A862" s="6" t="str">
        <f>'Data Entries'!GL863</f>
        <v/>
      </c>
    </row>
    <row r="863">
      <c r="A863" s="6" t="str">
        <f>'Data Entries'!GL864</f>
        <v/>
      </c>
    </row>
    <row r="864">
      <c r="A864" s="6" t="str">
        <f>'Data Entries'!GL865</f>
        <v/>
      </c>
    </row>
    <row r="865">
      <c r="A865" s="6" t="str">
        <f>'Data Entries'!GL866</f>
        <v/>
      </c>
    </row>
    <row r="866">
      <c r="A866" s="6" t="str">
        <f>'Data Entries'!GL867</f>
        <v/>
      </c>
    </row>
    <row r="867">
      <c r="A867" s="6" t="str">
        <f>'Data Entries'!GL868</f>
        <v/>
      </c>
    </row>
    <row r="868">
      <c r="A868" s="6" t="str">
        <f>'Data Entries'!GL869</f>
        <v/>
      </c>
    </row>
    <row r="869">
      <c r="A869" s="6" t="str">
        <f>'Data Entries'!GL870</f>
        <v/>
      </c>
    </row>
    <row r="870">
      <c r="A870" s="6" t="str">
        <f>'Data Entries'!GL871</f>
        <v/>
      </c>
    </row>
    <row r="871">
      <c r="A871" s="6" t="str">
        <f>'Data Entries'!GL872</f>
        <v/>
      </c>
    </row>
    <row r="872">
      <c r="A872" s="6" t="str">
        <f>'Data Entries'!GL873</f>
        <v/>
      </c>
    </row>
    <row r="873">
      <c r="A873" s="6" t="str">
        <f>'Data Entries'!GL874</f>
        <v/>
      </c>
    </row>
    <row r="874">
      <c r="A874" s="6" t="str">
        <f>'Data Entries'!GL875</f>
        <v/>
      </c>
    </row>
    <row r="875">
      <c r="A875" s="6" t="str">
        <f>'Data Entries'!GL876</f>
        <v/>
      </c>
    </row>
    <row r="876">
      <c r="A876" s="6" t="str">
        <f>'Data Entries'!GL877</f>
        <v/>
      </c>
    </row>
    <row r="877">
      <c r="A877" s="6" t="str">
        <f>'Data Entries'!GL878</f>
        <v/>
      </c>
    </row>
    <row r="878">
      <c r="A878" s="6" t="str">
        <f>'Data Entries'!GL879</f>
        <v/>
      </c>
    </row>
    <row r="879">
      <c r="A879" s="6" t="str">
        <f>'Data Entries'!GL880</f>
        <v/>
      </c>
    </row>
    <row r="880">
      <c r="A880" s="6" t="str">
        <f>'Data Entries'!GL881</f>
        <v/>
      </c>
    </row>
    <row r="881">
      <c r="A881" s="6" t="str">
        <f>'Data Entries'!GL882</f>
        <v/>
      </c>
    </row>
    <row r="882">
      <c r="A882" s="6" t="str">
        <f>'Data Entries'!GL883</f>
        <v/>
      </c>
    </row>
    <row r="883">
      <c r="A883" s="6" t="str">
        <f>'Data Entries'!GL884</f>
        <v/>
      </c>
    </row>
    <row r="884">
      <c r="A884" s="6" t="str">
        <f>'Data Entries'!GL885</f>
        <v/>
      </c>
    </row>
    <row r="885">
      <c r="A885" s="6" t="str">
        <f>'Data Entries'!GL886</f>
        <v/>
      </c>
    </row>
    <row r="886">
      <c r="A886" s="6" t="str">
        <f>'Data Entries'!GL887</f>
        <v/>
      </c>
    </row>
    <row r="887">
      <c r="A887" s="6" t="str">
        <f>'Data Entries'!GL888</f>
        <v/>
      </c>
    </row>
    <row r="888">
      <c r="A888" s="6" t="str">
        <f>'Data Entries'!GL889</f>
        <v/>
      </c>
    </row>
    <row r="889">
      <c r="A889" s="6" t="str">
        <f>'Data Entries'!GL890</f>
        <v/>
      </c>
    </row>
    <row r="890">
      <c r="A890" s="6" t="str">
        <f>'Data Entries'!GL891</f>
        <v/>
      </c>
    </row>
    <row r="891">
      <c r="A891" s="6" t="str">
        <f>'Data Entries'!GL892</f>
        <v/>
      </c>
    </row>
    <row r="892">
      <c r="A892" s="6" t="str">
        <f>'Data Entries'!GL893</f>
        <v/>
      </c>
    </row>
    <row r="893">
      <c r="A893" s="6" t="str">
        <f>'Data Entries'!GL894</f>
        <v/>
      </c>
    </row>
    <row r="894">
      <c r="A894" s="6" t="str">
        <f>'Data Entries'!GL895</f>
        <v/>
      </c>
    </row>
    <row r="895">
      <c r="A895" s="6" t="str">
        <f>'Data Entries'!GL896</f>
        <v/>
      </c>
    </row>
    <row r="896">
      <c r="A896" s="6" t="str">
        <f>'Data Entries'!GL897</f>
        <v/>
      </c>
    </row>
    <row r="897">
      <c r="A897" s="6" t="str">
        <f>'Data Entries'!GL898</f>
        <v/>
      </c>
    </row>
    <row r="898">
      <c r="A898" s="6" t="str">
        <f>'Data Entries'!GL899</f>
        <v/>
      </c>
    </row>
    <row r="899">
      <c r="A899" s="6" t="str">
        <f>'Data Entries'!GL900</f>
        <v/>
      </c>
    </row>
    <row r="900">
      <c r="A900" s="6" t="str">
        <f>'Data Entries'!GL901</f>
        <v/>
      </c>
    </row>
    <row r="901">
      <c r="A901" s="6" t="str">
        <f>'Data Entries'!GL902</f>
        <v/>
      </c>
    </row>
    <row r="902">
      <c r="A902" s="6" t="str">
        <f>'Data Entries'!GL903</f>
        <v/>
      </c>
    </row>
    <row r="903">
      <c r="A903" s="6" t="str">
        <f>'Data Entries'!GL904</f>
        <v/>
      </c>
    </row>
    <row r="904">
      <c r="A904" s="6" t="str">
        <f>'Data Entries'!GL905</f>
        <v/>
      </c>
    </row>
    <row r="905">
      <c r="A905" s="6" t="str">
        <f>'Data Entries'!GL906</f>
        <v/>
      </c>
    </row>
    <row r="906">
      <c r="A906" s="6" t="str">
        <f>'Data Entries'!GL907</f>
        <v/>
      </c>
    </row>
    <row r="907">
      <c r="A907" s="6" t="str">
        <f>'Data Entries'!GL908</f>
        <v/>
      </c>
    </row>
    <row r="908">
      <c r="A908" s="6" t="str">
        <f>'Data Entries'!GL909</f>
        <v/>
      </c>
    </row>
    <row r="909">
      <c r="A909" s="6" t="str">
        <f>'Data Entries'!GL910</f>
        <v/>
      </c>
    </row>
    <row r="910">
      <c r="A910" s="6" t="str">
        <f>'Data Entries'!GL911</f>
        <v/>
      </c>
    </row>
    <row r="911">
      <c r="A911" s="6" t="str">
        <f>'Data Entries'!GL912</f>
        <v/>
      </c>
    </row>
    <row r="912">
      <c r="A912" s="6" t="str">
        <f>'Data Entries'!GL913</f>
        <v/>
      </c>
    </row>
    <row r="913">
      <c r="A913" s="6" t="str">
        <f>'Data Entries'!GL914</f>
        <v/>
      </c>
    </row>
    <row r="914">
      <c r="A914" s="6" t="str">
        <f>'Data Entries'!GL915</f>
        <v/>
      </c>
    </row>
    <row r="915">
      <c r="A915" s="6" t="str">
        <f>'Data Entries'!GL916</f>
        <v/>
      </c>
    </row>
    <row r="916">
      <c r="A916" s="6" t="str">
        <f>'Data Entries'!GL917</f>
        <v/>
      </c>
    </row>
    <row r="917">
      <c r="A917" s="6" t="str">
        <f>'Data Entries'!GL918</f>
        <v/>
      </c>
    </row>
    <row r="918">
      <c r="A918" s="6" t="str">
        <f>'Data Entries'!GL919</f>
        <v/>
      </c>
    </row>
    <row r="919">
      <c r="A919" s="6" t="str">
        <f>'Data Entries'!GL920</f>
        <v/>
      </c>
    </row>
    <row r="920">
      <c r="A920" s="6" t="str">
        <f>'Data Entries'!GL921</f>
        <v/>
      </c>
    </row>
    <row r="921">
      <c r="A921" s="6" t="str">
        <f>'Data Entries'!GL922</f>
        <v/>
      </c>
    </row>
    <row r="922">
      <c r="A922" s="6" t="str">
        <f>'Data Entries'!GL923</f>
        <v/>
      </c>
    </row>
    <row r="923">
      <c r="A923" s="6" t="str">
        <f>'Data Entries'!GL924</f>
        <v/>
      </c>
    </row>
    <row r="924">
      <c r="A924" s="6" t="str">
        <f>'Data Entries'!GL925</f>
        <v/>
      </c>
    </row>
    <row r="925">
      <c r="A925" s="6" t="str">
        <f>'Data Entries'!GL926</f>
        <v/>
      </c>
    </row>
    <row r="926">
      <c r="A926" s="6" t="str">
        <f>'Data Entries'!GL927</f>
        <v/>
      </c>
    </row>
    <row r="927">
      <c r="A927" s="6" t="str">
        <f>'Data Entries'!GL928</f>
        <v/>
      </c>
    </row>
    <row r="928">
      <c r="A928" s="6" t="str">
        <f>'Data Entries'!GL929</f>
        <v/>
      </c>
    </row>
    <row r="929">
      <c r="A929" s="6" t="str">
        <f>'Data Entries'!GL930</f>
        <v/>
      </c>
    </row>
    <row r="930">
      <c r="A930" s="6" t="str">
        <f>'Data Entries'!GL931</f>
        <v/>
      </c>
    </row>
    <row r="931">
      <c r="A931" s="6" t="str">
        <f>'Data Entries'!GL932</f>
        <v/>
      </c>
    </row>
    <row r="932">
      <c r="A932" s="6" t="str">
        <f>'Data Entries'!GL933</f>
        <v/>
      </c>
    </row>
    <row r="933">
      <c r="A933" s="6" t="str">
        <f>'Data Entries'!GL934</f>
        <v/>
      </c>
    </row>
    <row r="934">
      <c r="A934" s="6" t="str">
        <f>'Data Entries'!GL935</f>
        <v/>
      </c>
    </row>
    <row r="935">
      <c r="A935" s="6" t="str">
        <f>'Data Entries'!GL936</f>
        <v/>
      </c>
    </row>
    <row r="936">
      <c r="A936" s="6" t="str">
        <f>'Data Entries'!GL937</f>
        <v/>
      </c>
    </row>
    <row r="937">
      <c r="A937" s="6" t="str">
        <f>'Data Entries'!GL938</f>
        <v/>
      </c>
    </row>
    <row r="938">
      <c r="A938" s="6" t="str">
        <f>'Data Entries'!GL939</f>
        <v/>
      </c>
    </row>
    <row r="939">
      <c r="A939" s="6" t="str">
        <f>'Data Entries'!GL940</f>
        <v/>
      </c>
    </row>
    <row r="940">
      <c r="A940" s="6" t="str">
        <f>'Data Entries'!GL941</f>
        <v/>
      </c>
    </row>
    <row r="941">
      <c r="A941" s="6" t="str">
        <f>'Data Entries'!GL942</f>
        <v/>
      </c>
    </row>
    <row r="942">
      <c r="A942" s="6" t="str">
        <f>'Data Entries'!GL943</f>
        <v/>
      </c>
    </row>
    <row r="943">
      <c r="A943" s="6" t="str">
        <f>'Data Entries'!GL944</f>
        <v/>
      </c>
    </row>
    <row r="944">
      <c r="A944" s="6" t="str">
        <f>'Data Entries'!GL945</f>
        <v/>
      </c>
    </row>
    <row r="945">
      <c r="A945" s="6" t="str">
        <f>'Data Entries'!GL946</f>
        <v/>
      </c>
    </row>
    <row r="946">
      <c r="A946" s="6" t="str">
        <f>'Data Entries'!GL947</f>
        <v/>
      </c>
    </row>
    <row r="947">
      <c r="A947" s="6" t="str">
        <f>'Data Entries'!GL948</f>
        <v/>
      </c>
    </row>
    <row r="948">
      <c r="A948" s="6" t="str">
        <f>'Data Entries'!GL949</f>
        <v/>
      </c>
    </row>
    <row r="949">
      <c r="A949" s="6" t="str">
        <f>'Data Entries'!GL950</f>
        <v/>
      </c>
    </row>
    <row r="950">
      <c r="A950" s="6" t="str">
        <f>'Data Entries'!GL951</f>
        <v/>
      </c>
    </row>
    <row r="951">
      <c r="A951" s="6" t="str">
        <f>'Data Entries'!GL952</f>
        <v/>
      </c>
    </row>
    <row r="952">
      <c r="A952" s="6" t="str">
        <f>'Data Entries'!GL953</f>
        <v/>
      </c>
    </row>
    <row r="953">
      <c r="A953" s="6" t="str">
        <f>'Data Entries'!GL954</f>
        <v/>
      </c>
    </row>
    <row r="954">
      <c r="A954" s="6" t="str">
        <f>'Data Entries'!GL955</f>
        <v/>
      </c>
    </row>
    <row r="955">
      <c r="A955" s="6" t="str">
        <f>'Data Entries'!GL956</f>
        <v/>
      </c>
    </row>
    <row r="956">
      <c r="A956" s="6" t="str">
        <f>'Data Entries'!GL957</f>
        <v/>
      </c>
    </row>
    <row r="957">
      <c r="A957" s="6" t="str">
        <f>'Data Entries'!GL958</f>
        <v/>
      </c>
    </row>
    <row r="958">
      <c r="A958" s="6" t="str">
        <f>'Data Entries'!GL959</f>
        <v/>
      </c>
    </row>
    <row r="959">
      <c r="A959" s="6" t="str">
        <f>'Data Entries'!GL960</f>
        <v/>
      </c>
    </row>
    <row r="960">
      <c r="A960" s="6" t="str">
        <f>'Data Entries'!GL961</f>
        <v/>
      </c>
    </row>
    <row r="961">
      <c r="A961" s="6" t="str">
        <f>'Data Entries'!GL962</f>
        <v/>
      </c>
    </row>
    <row r="962">
      <c r="A962" s="6" t="str">
        <f>'Data Entries'!GL963</f>
        <v/>
      </c>
    </row>
    <row r="963">
      <c r="A963" s="6" t="str">
        <f>'Data Entries'!GL964</f>
        <v/>
      </c>
    </row>
    <row r="964">
      <c r="A964" s="6" t="str">
        <f>'Data Entries'!GL965</f>
        <v/>
      </c>
    </row>
    <row r="965">
      <c r="A965" s="6" t="str">
        <f>'Data Entries'!GL966</f>
        <v/>
      </c>
    </row>
    <row r="966">
      <c r="A966" s="6" t="str">
        <f>'Data Entries'!GL967</f>
        <v/>
      </c>
    </row>
    <row r="967">
      <c r="A967" s="6" t="str">
        <f>'Data Entries'!GL968</f>
        <v/>
      </c>
    </row>
    <row r="968">
      <c r="A968" s="6" t="str">
        <f>'Data Entries'!GL969</f>
        <v/>
      </c>
    </row>
    <row r="969">
      <c r="A969" s="6" t="str">
        <f>'Data Entries'!GL970</f>
        <v/>
      </c>
    </row>
    <row r="970">
      <c r="A970" s="6" t="str">
        <f>'Data Entries'!GL971</f>
        <v/>
      </c>
    </row>
    <row r="971">
      <c r="A971" s="6" t="str">
        <f>'Data Entries'!GL972</f>
        <v/>
      </c>
    </row>
    <row r="972">
      <c r="A972" s="6" t="str">
        <f>'Data Entries'!GL973</f>
        <v/>
      </c>
    </row>
    <row r="973">
      <c r="A973" s="6" t="str">
        <f>'Data Entries'!GL974</f>
        <v/>
      </c>
    </row>
    <row r="974">
      <c r="A974" s="6" t="str">
        <f>'Data Entries'!GL975</f>
        <v/>
      </c>
    </row>
    <row r="975">
      <c r="A975" s="6" t="str">
        <f>'Data Entries'!GL976</f>
        <v/>
      </c>
    </row>
    <row r="976">
      <c r="A976" s="6" t="str">
        <f>'Data Entries'!GL977</f>
        <v/>
      </c>
    </row>
    <row r="977">
      <c r="A977" s="6" t="str">
        <f>'Data Entries'!GL978</f>
        <v/>
      </c>
    </row>
    <row r="978">
      <c r="A978" s="6" t="str">
        <f>'Data Entries'!GL979</f>
        <v/>
      </c>
    </row>
    <row r="979">
      <c r="A979" s="6" t="str">
        <f>'Data Entries'!GL980</f>
        <v/>
      </c>
    </row>
    <row r="980">
      <c r="A980" s="6" t="str">
        <f>'Data Entries'!GL981</f>
        <v/>
      </c>
    </row>
    <row r="981">
      <c r="A981" s="6" t="str">
        <f>'Data Entries'!GL982</f>
        <v/>
      </c>
    </row>
    <row r="982">
      <c r="A982" s="6" t="str">
        <f>'Data Entries'!GL983</f>
        <v/>
      </c>
    </row>
    <row r="983">
      <c r="A983" s="6" t="str">
        <f>'Data Entries'!GL984</f>
        <v/>
      </c>
    </row>
    <row r="984">
      <c r="A984" s="6" t="str">
        <f>'Data Entries'!GL985</f>
        <v/>
      </c>
    </row>
    <row r="985">
      <c r="A985" s="6" t="str">
        <f>'Data Entries'!GL986</f>
        <v/>
      </c>
    </row>
    <row r="986">
      <c r="A986" s="6" t="str">
        <f>'Data Entries'!GL987</f>
        <v/>
      </c>
    </row>
    <row r="987">
      <c r="A987" s="6" t="str">
        <f>'Data Entries'!GL988</f>
        <v/>
      </c>
    </row>
    <row r="988">
      <c r="A988" s="6" t="str">
        <f>'Data Entries'!GL989</f>
        <v/>
      </c>
    </row>
    <row r="989">
      <c r="A989" s="6" t="str">
        <f>'Data Entries'!GL990</f>
        <v/>
      </c>
    </row>
    <row r="990">
      <c r="A990" s="6" t="str">
        <f>'Data Entries'!GL991</f>
        <v/>
      </c>
    </row>
    <row r="991">
      <c r="A991" s="6" t="str">
        <f>'Data Entries'!GL992</f>
        <v/>
      </c>
    </row>
    <row r="992">
      <c r="A992" s="6" t="str">
        <f>'Data Entries'!GL993</f>
        <v/>
      </c>
    </row>
    <row r="993">
      <c r="A993" s="6" t="str">
        <f>'Data Entries'!GL994</f>
        <v/>
      </c>
    </row>
    <row r="994">
      <c r="A994" s="6" t="str">
        <f>'Data Entries'!GL995</f>
        <v/>
      </c>
    </row>
    <row r="995">
      <c r="A995" s="6" t="str">
        <f>'Data Entries'!GL996</f>
        <v/>
      </c>
    </row>
    <row r="996">
      <c r="A996" s="6" t="str">
        <f>'Data Entries'!GL997</f>
        <v/>
      </c>
    </row>
    <row r="997">
      <c r="A997" s="6" t="str">
        <f>'Data Entries'!GL998</f>
        <v/>
      </c>
    </row>
    <row r="998">
      <c r="A998" s="6" t="str">
        <f>'Data Entries'!GL999</f>
        <v/>
      </c>
    </row>
    <row r="999">
      <c r="A999" s="6" t="str">
        <f>'Data Entries'!GL1000</f>
        <v/>
      </c>
    </row>
    <row r="1000">
      <c r="A1000" s="6" t="str">
        <f>'Data Entries'!GL1001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552</v>
      </c>
      <c r="B1" s="24" t="s">
        <v>370</v>
      </c>
      <c r="H1" s="69" t="s">
        <v>553</v>
      </c>
      <c r="N1" s="120" t="s">
        <v>554</v>
      </c>
      <c r="V1" s="69" t="s">
        <v>413</v>
      </c>
    </row>
    <row r="2">
      <c r="A2" s="6">
        <v>2.192982456140351</v>
      </c>
      <c r="B2" s="6">
        <v>2.2</v>
      </c>
      <c r="H2" s="121">
        <v>0.0</v>
      </c>
      <c r="I2" s="121">
        <f>(Max(H2:H263)-Min(H2:H263))/16</f>
        <v>1152639.125</v>
      </c>
      <c r="K2" s="15" t="s">
        <v>555</v>
      </c>
      <c r="L2" s="15">
        <v>1.0</v>
      </c>
      <c r="N2" s="122">
        <v>1.0</v>
      </c>
      <c r="O2" s="15" t="s">
        <v>556</v>
      </c>
      <c r="P2" s="122">
        <f>max(N2:N263)</f>
        <v>1</v>
      </c>
      <c r="Q2" s="122"/>
      <c r="V2" s="121">
        <v>0.0</v>
      </c>
      <c r="X2" s="121">
        <f>IFERROR(__xludf.DUMMYFUNCTION("UNIQUE(V2:V263)"),0.0)</f>
        <v>0</v>
      </c>
    </row>
    <row r="3">
      <c r="A3" s="6">
        <v>3.175438596491228</v>
      </c>
      <c r="B3" s="6">
        <v>2.9000000000000004</v>
      </c>
      <c r="H3" s="121">
        <v>0.0</v>
      </c>
      <c r="K3" s="15" t="s">
        <v>70</v>
      </c>
      <c r="L3" s="15">
        <v>2.0</v>
      </c>
      <c r="N3" s="122">
        <v>0.0617535616853592</v>
      </c>
      <c r="O3" s="15" t="s">
        <v>557</v>
      </c>
      <c r="P3" s="122">
        <f>MIN(N2:N263)</f>
        <v>0.00002762063228</v>
      </c>
      <c r="Q3" s="122">
        <v>0.0617535616853592</v>
      </c>
      <c r="R3" s="122">
        <f>max(Q3:Q163)</f>
        <v>0.9187775308</v>
      </c>
      <c r="S3" s="15" t="s">
        <v>76</v>
      </c>
      <c r="V3" s="121">
        <v>659800.0</v>
      </c>
      <c r="X3" s="121">
        <f>IFERROR(__xludf.DUMMYFUNCTION("""COMPUTED_VALUE"""),659800.0)</f>
        <v>659800</v>
      </c>
      <c r="Y3" s="121">
        <f>MEDIAN(X2:X152)</f>
        <v>491578</v>
      </c>
    </row>
    <row r="4">
      <c r="A4" s="6">
        <v>3.5964912280701755</v>
      </c>
      <c r="B4" s="6">
        <v>3.2</v>
      </c>
      <c r="H4" s="121">
        <v>0.0</v>
      </c>
      <c r="K4" s="15" t="s">
        <v>71</v>
      </c>
      <c r="L4" s="15">
        <v>3.0</v>
      </c>
      <c r="N4" s="122">
        <v>1.0</v>
      </c>
      <c r="Q4" s="122">
        <v>0.023093978494623656</v>
      </c>
      <c r="R4" s="122">
        <f>min(Q3:Q163)</f>
        <v>0.00002762063228</v>
      </c>
      <c r="S4" s="15" t="s">
        <v>97</v>
      </c>
      <c r="V4" s="121">
        <v>0.0</v>
      </c>
      <c r="X4" s="121">
        <f>IFERROR(__xludf.DUMMYFUNCTION("""COMPUTED_VALUE"""),9300000.0)</f>
        <v>9300000</v>
      </c>
    </row>
    <row r="5">
      <c r="A5" s="6">
        <v>2.0526315789473677</v>
      </c>
      <c r="B5" s="6">
        <v>2.0999999999999996</v>
      </c>
      <c r="H5" s="121">
        <v>0.0</v>
      </c>
      <c r="K5" s="15" t="s">
        <v>72</v>
      </c>
      <c r="L5" s="15">
        <v>4.0</v>
      </c>
      <c r="N5" s="122">
        <v>1.0</v>
      </c>
      <c r="Q5" s="122">
        <v>0.0549973474801061</v>
      </c>
      <c r="S5" s="15" t="s">
        <v>114</v>
      </c>
      <c r="V5" s="121">
        <v>0.0</v>
      </c>
      <c r="X5" s="121">
        <f>IFERROR(__xludf.DUMMYFUNCTION("""COMPUTED_VALUE"""),377000.0)</f>
        <v>377000</v>
      </c>
    </row>
    <row r="6">
      <c r="A6" s="6">
        <v>3.5964912280701755</v>
      </c>
      <c r="B6" s="6">
        <v>3.2</v>
      </c>
      <c r="H6" s="121">
        <v>140.0</v>
      </c>
      <c r="K6" s="15" t="s">
        <v>73</v>
      </c>
      <c r="L6" s="15">
        <v>5.0</v>
      </c>
      <c r="N6" s="122">
        <v>1.0</v>
      </c>
      <c r="Q6" s="122">
        <v>0.05552673858159284</v>
      </c>
      <c r="S6" s="15" t="s">
        <v>131</v>
      </c>
      <c r="V6" s="121">
        <v>0.0</v>
      </c>
      <c r="X6" s="121">
        <f>IFERROR(__xludf.DUMMYFUNCTION("""COMPUTED_VALUE"""),435700.0)</f>
        <v>435700</v>
      </c>
    </row>
    <row r="7">
      <c r="A7" s="6">
        <v>2.4035087719298236</v>
      </c>
      <c r="B7" s="6">
        <v>2.3499999999999996</v>
      </c>
      <c r="H7" s="121">
        <v>0.0</v>
      </c>
      <c r="K7" s="15" t="s">
        <v>74</v>
      </c>
      <c r="L7" s="15">
        <v>6.0</v>
      </c>
      <c r="N7" s="122">
        <v>0.023093978494623656</v>
      </c>
      <c r="Q7" s="122">
        <v>0.026085454545454547</v>
      </c>
      <c r="S7" s="15" t="s">
        <v>149</v>
      </c>
      <c r="V7" s="121">
        <v>9300000.0</v>
      </c>
      <c r="X7" s="121">
        <f>IFERROR(__xludf.DUMMYFUNCTION("""COMPUTED_VALUE"""),550000.0)</f>
        <v>550000</v>
      </c>
    </row>
    <row r="8">
      <c r="A8" s="6">
        <v>1.6315789473684208</v>
      </c>
      <c r="B8" s="6">
        <v>1.7999999999999998</v>
      </c>
      <c r="H8" s="121">
        <v>0.0</v>
      </c>
      <c r="K8" s="15" t="s">
        <v>75</v>
      </c>
      <c r="L8" s="15">
        <v>7.0</v>
      </c>
      <c r="N8" s="122">
        <v>1.0</v>
      </c>
      <c r="Q8" s="122">
        <v>0.0018367545481077926</v>
      </c>
      <c r="S8" s="15" t="s">
        <v>164</v>
      </c>
      <c r="V8" s="121">
        <v>0.0</v>
      </c>
      <c r="X8" s="121">
        <f>IFERROR(__xludf.DUMMYFUNCTION("""COMPUTED_VALUE"""),513950.0)</f>
        <v>513950</v>
      </c>
    </row>
    <row r="9">
      <c r="A9" s="6">
        <v>1.7719298245614032</v>
      </c>
      <c r="B9" s="6">
        <v>1.9</v>
      </c>
      <c r="H9" s="121">
        <v>2183575.0</v>
      </c>
      <c r="K9" s="15" t="s">
        <v>558</v>
      </c>
      <c r="L9" s="15">
        <v>8.0</v>
      </c>
      <c r="N9" s="122">
        <v>1.0</v>
      </c>
      <c r="Q9" s="122">
        <v>0.027775</v>
      </c>
      <c r="S9" s="15" t="s">
        <v>190</v>
      </c>
      <c r="V9" s="121">
        <v>0.0</v>
      </c>
      <c r="X9" s="121">
        <f>IFERROR(__xludf.DUMMYFUNCTION("""COMPUTED_VALUE"""),200000.0)</f>
        <v>200000</v>
      </c>
    </row>
    <row r="10">
      <c r="A10" s="6">
        <v>1.2105263157894735</v>
      </c>
      <c r="B10" s="6">
        <v>1.5</v>
      </c>
      <c r="H10" s="121">
        <v>0.0</v>
      </c>
      <c r="K10" s="15" t="s">
        <v>559</v>
      </c>
      <c r="L10" s="15">
        <v>9.0</v>
      </c>
      <c r="N10" s="122">
        <v>1.0</v>
      </c>
      <c r="Q10" s="122">
        <v>0.028198979591836735</v>
      </c>
      <c r="S10" s="15" t="s">
        <v>216</v>
      </c>
      <c r="V10" s="121">
        <v>0.0</v>
      </c>
      <c r="X10" s="121">
        <f>IFERROR(__xludf.DUMMYFUNCTION("""COMPUTED_VALUE"""),4900000.0)</f>
        <v>4900000</v>
      </c>
    </row>
    <row r="11">
      <c r="A11" s="6">
        <v>1.9824561403508767</v>
      </c>
      <c r="B11" s="6">
        <v>2.05</v>
      </c>
      <c r="H11" s="121">
        <v>1258601.0</v>
      </c>
      <c r="K11" s="15" t="s">
        <v>560</v>
      </c>
      <c r="L11" s="15">
        <v>10.0</v>
      </c>
      <c r="N11" s="122">
        <v>1.0</v>
      </c>
      <c r="Q11" s="122">
        <v>0.07977763459641687</v>
      </c>
      <c r="S11" s="15" t="s">
        <v>250</v>
      </c>
      <c r="V11" s="121">
        <v>0.0</v>
      </c>
      <c r="X11" s="121">
        <f>IFERROR(__xludf.DUMMYFUNCTION("""COMPUTED_VALUE"""),3274790.0)</f>
        <v>3274790</v>
      </c>
    </row>
    <row r="12">
      <c r="A12" s="6">
        <v>2.8245614035087714</v>
      </c>
      <c r="B12" s="6">
        <v>2.65</v>
      </c>
      <c r="H12" s="121">
        <v>853807.0</v>
      </c>
      <c r="K12" s="15" t="s">
        <v>561</v>
      </c>
      <c r="L12" s="15">
        <v>11.0</v>
      </c>
      <c r="N12" s="122">
        <v>0.0549973474801061</v>
      </c>
      <c r="Q12" s="122">
        <v>0.006141666666666667</v>
      </c>
      <c r="S12" s="15" t="s">
        <v>305</v>
      </c>
      <c r="V12" s="121">
        <v>377000.0</v>
      </c>
      <c r="X12" s="121">
        <f>IFERROR(__xludf.DUMMYFUNCTION("""COMPUTED_VALUE"""),600000.0)</f>
        <v>600000</v>
      </c>
    </row>
    <row r="13">
      <c r="A13" s="6">
        <v>2.192982456140351</v>
      </c>
      <c r="B13" s="6">
        <v>2.2</v>
      </c>
      <c r="H13" s="121">
        <v>0.0</v>
      </c>
      <c r="K13" s="15" t="s">
        <v>562</v>
      </c>
      <c r="L13" s="15">
        <v>12.0</v>
      </c>
      <c r="N13" s="122">
        <v>1.0</v>
      </c>
      <c r="Q13" s="122">
        <v>0.0107326</v>
      </c>
      <c r="V13" s="121">
        <v>0.0</v>
      </c>
      <c r="X13" s="121">
        <f>IFERROR(__xludf.DUMMYFUNCTION("""COMPUTED_VALUE"""),5000000.0)</f>
        <v>5000000</v>
      </c>
    </row>
    <row r="14">
      <c r="A14" s="6">
        <v>2.614035087719298</v>
      </c>
      <c r="B14" s="6">
        <v>2.5</v>
      </c>
      <c r="H14" s="121">
        <v>1282750.0</v>
      </c>
      <c r="N14" s="122">
        <v>0.05552673858159284</v>
      </c>
      <c r="Q14" s="122">
        <v>0.004437</v>
      </c>
      <c r="V14" s="121">
        <v>435700.0</v>
      </c>
      <c r="X14" s="121">
        <f>IFERROR(__xludf.DUMMYFUNCTION("""COMPUTED_VALUE"""),2000000.0)</f>
        <v>2000000</v>
      </c>
    </row>
    <row r="15">
      <c r="A15" s="6">
        <v>2.8245614035087714</v>
      </c>
      <c r="B15" s="6">
        <v>2.65</v>
      </c>
      <c r="H15" s="121">
        <v>0.0</v>
      </c>
      <c r="N15" s="122">
        <v>0.026085454545454547</v>
      </c>
      <c r="Q15" s="122">
        <v>0.0058742222222222225</v>
      </c>
      <c r="V15" s="121">
        <v>550000.0</v>
      </c>
      <c r="X15" s="121">
        <f>IFERROR(__xludf.DUMMYFUNCTION("""COMPUTED_VALUE"""),4500000.0)</f>
        <v>4500000</v>
      </c>
    </row>
    <row r="16">
      <c r="A16" s="6">
        <v>3.0350877192982453</v>
      </c>
      <c r="B16" s="6">
        <v>2.8</v>
      </c>
      <c r="H16" s="121">
        <v>489576.0</v>
      </c>
      <c r="N16" s="122">
        <v>1.0</v>
      </c>
      <c r="Q16" s="122">
        <v>0.01579</v>
      </c>
      <c r="V16" s="121">
        <v>0.0</v>
      </c>
      <c r="X16" s="121">
        <f>IFERROR(__xludf.DUMMYFUNCTION("""COMPUTED_VALUE"""),1715889.0)</f>
        <v>1715889</v>
      </c>
    </row>
    <row r="17">
      <c r="A17" s="6">
        <v>1.2105263157894735</v>
      </c>
      <c r="B17" s="6">
        <v>1.5</v>
      </c>
      <c r="H17" s="121">
        <v>244163.0</v>
      </c>
      <c r="N17" s="122">
        <v>1.0</v>
      </c>
      <c r="Q17" s="122">
        <v>0.01992203458382215</v>
      </c>
      <c r="V17" s="121">
        <v>0.0</v>
      </c>
      <c r="X17" s="121">
        <f>IFERROR(__xludf.DUMMYFUNCTION("""COMPUTED_VALUE"""),1000000.0)</f>
        <v>1000000</v>
      </c>
    </row>
    <row r="18">
      <c r="A18" s="6">
        <v>2.192982456140351</v>
      </c>
      <c r="B18" s="6">
        <v>2.2</v>
      </c>
      <c r="H18" s="121">
        <v>492684.0</v>
      </c>
      <c r="N18" s="122">
        <v>1.0</v>
      </c>
      <c r="Q18" s="122">
        <v>1.11E-4</v>
      </c>
      <c r="V18" s="121">
        <v>0.0</v>
      </c>
      <c r="X18" s="121">
        <f>IFERROR(__xludf.DUMMYFUNCTION("""COMPUTED_VALUE"""),944500.0)</f>
        <v>944500</v>
      </c>
    </row>
    <row r="19">
      <c r="A19" s="6">
        <v>3.0350877192982453</v>
      </c>
      <c r="B19" s="6">
        <v>2.8</v>
      </c>
      <c r="H19" s="121">
        <v>52525.0</v>
      </c>
      <c r="N19" s="122">
        <v>0.0018367545481077926</v>
      </c>
      <c r="Q19" s="122">
        <v>0.014938062466913711</v>
      </c>
      <c r="V19" s="121">
        <v>513950.0</v>
      </c>
      <c r="X19" s="121">
        <f>IFERROR(__xludf.DUMMYFUNCTION("""COMPUTED_VALUE"""),85605.0)</f>
        <v>85605</v>
      </c>
    </row>
    <row r="20">
      <c r="A20" s="6">
        <v>2.8245614035087714</v>
      </c>
      <c r="B20" s="6">
        <v>2.65</v>
      </c>
      <c r="H20" s="121">
        <v>56258.0</v>
      </c>
      <c r="N20" s="122">
        <v>0.027775</v>
      </c>
      <c r="Q20" s="122">
        <v>0.04757899655393961</v>
      </c>
      <c r="V20" s="121">
        <v>200000.0</v>
      </c>
      <c r="X20" s="121">
        <f>IFERROR(__xludf.DUMMYFUNCTION("""COMPUTED_VALUE"""),15000.0)</f>
        <v>15000</v>
      </c>
    </row>
    <row r="21">
      <c r="A21" s="6">
        <v>2.192982456140351</v>
      </c>
      <c r="B21" s="6">
        <v>2.2</v>
      </c>
      <c r="H21" s="121">
        <v>0.0</v>
      </c>
      <c r="N21" s="122">
        <v>0.028198979591836735</v>
      </c>
      <c r="Q21" s="122">
        <v>0.015666666666666666</v>
      </c>
      <c r="V21" s="121">
        <v>4900000.0</v>
      </c>
      <c r="X21" s="121">
        <f>IFERROR(__xludf.DUMMYFUNCTION("""COMPUTED_VALUE"""),5100.0)</f>
        <v>5100</v>
      </c>
    </row>
    <row r="22">
      <c r="A22" s="6">
        <v>3.7368421052631575</v>
      </c>
      <c r="B22" s="6">
        <v>3.3</v>
      </c>
      <c r="H22" s="121">
        <v>4428320.0</v>
      </c>
      <c r="N22" s="122">
        <v>0.07977763459641687</v>
      </c>
      <c r="Q22" s="122">
        <v>0.03764705882352941</v>
      </c>
      <c r="V22" s="121">
        <v>3274790.0</v>
      </c>
      <c r="X22" s="121">
        <f>IFERROR(__xludf.DUMMYFUNCTION("""COMPUTED_VALUE"""),1150000.0)</f>
        <v>1150000</v>
      </c>
    </row>
    <row r="23">
      <c r="A23" s="6">
        <v>2.4035087719298245</v>
      </c>
      <c r="B23" s="6">
        <v>2.35</v>
      </c>
      <c r="H23" s="121">
        <v>0.0</v>
      </c>
      <c r="N23" s="122">
        <v>0.006141666666666667</v>
      </c>
      <c r="Q23" s="122">
        <v>0.016899130434782608</v>
      </c>
      <c r="V23" s="121">
        <v>600000.0</v>
      </c>
      <c r="X23" s="121">
        <f>IFERROR(__xludf.DUMMYFUNCTION("""COMPUTED_VALUE"""),3121096.0)</f>
        <v>3121096</v>
      </c>
    </row>
    <row r="24">
      <c r="A24" s="6">
        <v>2.4035087719298245</v>
      </c>
      <c r="B24" s="6">
        <v>2.35</v>
      </c>
      <c r="H24" s="121">
        <v>0.0</v>
      </c>
      <c r="N24" s="122">
        <v>0.0107326</v>
      </c>
      <c r="Q24" s="122">
        <v>0.096958</v>
      </c>
      <c r="V24" s="121">
        <v>5000000.0</v>
      </c>
      <c r="X24" s="121">
        <f>IFERROR(__xludf.DUMMYFUNCTION("""COMPUTED_VALUE"""),234790.0)</f>
        <v>234790</v>
      </c>
    </row>
    <row r="25">
      <c r="A25" s="6">
        <v>3.526315789473684</v>
      </c>
      <c r="B25" s="6">
        <v>3.15</v>
      </c>
      <c r="H25" s="121">
        <v>26316.0</v>
      </c>
      <c r="N25" s="122">
        <v>1.0</v>
      </c>
      <c r="Q25" s="122">
        <v>0.012258193916496</v>
      </c>
      <c r="V25" s="121">
        <v>0.0</v>
      </c>
      <c r="X25" s="121">
        <f>IFERROR(__xludf.DUMMYFUNCTION("""COMPUTED_VALUE"""),1320000.0)</f>
        <v>1320000</v>
      </c>
    </row>
    <row r="26">
      <c r="A26" s="6">
        <v>2.5438596491228074</v>
      </c>
      <c r="B26" s="6">
        <v>2.45</v>
      </c>
      <c r="H26" s="69">
        <v>0.0</v>
      </c>
      <c r="N26" s="122">
        <v>0.004437</v>
      </c>
      <c r="Q26" s="122">
        <v>0.004386898930959581</v>
      </c>
      <c r="V26" s="69">
        <v>2000000.0</v>
      </c>
      <c r="X26" s="121">
        <f>IFERROR(__xludf.DUMMYFUNCTION("""COMPUTED_VALUE"""),570000.0)</f>
        <v>570000</v>
      </c>
    </row>
    <row r="27">
      <c r="A27" s="6">
        <v>1.9824561403508767</v>
      </c>
      <c r="B27" s="6">
        <v>2.05</v>
      </c>
      <c r="H27" s="69">
        <v>0.0</v>
      </c>
      <c r="N27" s="122">
        <v>0.0058742222222222225</v>
      </c>
      <c r="Q27" s="122">
        <v>0.0862439393939394</v>
      </c>
      <c r="V27" s="69">
        <v>4500000.0</v>
      </c>
      <c r="X27" s="121">
        <f>IFERROR(__xludf.DUMMYFUNCTION("""COMPUTED_VALUE"""),4601100.0)</f>
        <v>4601100</v>
      </c>
    </row>
    <row r="28">
      <c r="A28" s="6">
        <v>1.0</v>
      </c>
      <c r="B28" s="6">
        <v>1.35</v>
      </c>
      <c r="H28" s="69">
        <v>0.0</v>
      </c>
      <c r="N28" s="122">
        <v>1.0</v>
      </c>
      <c r="Q28" s="122">
        <v>0.0158</v>
      </c>
      <c r="V28" s="69">
        <v>0.0</v>
      </c>
      <c r="X28" s="121">
        <f>IFERROR(__xludf.DUMMYFUNCTION("""COMPUTED_VALUE"""),2788940.0)</f>
        <v>2788940</v>
      </c>
    </row>
    <row r="29">
      <c r="A29" s="6">
        <v>4.087719298245613</v>
      </c>
      <c r="B29" s="6">
        <v>3.55</v>
      </c>
      <c r="H29" s="69">
        <v>0.0</v>
      </c>
      <c r="N29" s="122">
        <v>0.01579</v>
      </c>
      <c r="Q29" s="122">
        <v>0.076675</v>
      </c>
      <c r="V29" s="69">
        <v>200000.0</v>
      </c>
      <c r="X29" s="121">
        <f>IFERROR(__xludf.DUMMYFUNCTION("""COMPUTED_VALUE"""),1600000.0)</f>
        <v>1600000</v>
      </c>
    </row>
    <row r="30">
      <c r="A30" s="6">
        <v>2.192982456140351</v>
      </c>
      <c r="B30" s="6">
        <v>2.2</v>
      </c>
      <c r="H30" s="69">
        <v>16172.0</v>
      </c>
      <c r="N30" s="122">
        <v>0.01992203458382215</v>
      </c>
      <c r="Q30" s="122">
        <v>0.013819956097454957</v>
      </c>
      <c r="V30" s="69">
        <v>1715889.0</v>
      </c>
      <c r="X30" s="121">
        <f>IFERROR(__xludf.DUMMYFUNCTION("""COMPUTED_VALUE"""),1234000.0)</f>
        <v>1234000</v>
      </c>
    </row>
    <row r="31">
      <c r="A31" s="6">
        <v>3.5964912280701755</v>
      </c>
      <c r="B31" s="6">
        <v>3.2</v>
      </c>
      <c r="H31" s="69">
        <v>0.0</v>
      </c>
      <c r="N31" s="122">
        <v>1.11E-4</v>
      </c>
      <c r="Q31" s="122">
        <v>0.022706834854819394</v>
      </c>
      <c r="V31" s="69">
        <v>1000000.0</v>
      </c>
      <c r="X31" s="121">
        <f>IFERROR(__xludf.DUMMYFUNCTION("""COMPUTED_VALUE"""),1140000.0)</f>
        <v>1140000</v>
      </c>
    </row>
    <row r="32">
      <c r="A32" s="6">
        <v>3.0350877192982453</v>
      </c>
      <c r="B32" s="6">
        <v>2.8</v>
      </c>
      <c r="H32" s="69">
        <v>0.0</v>
      </c>
      <c r="N32" s="122">
        <v>1.0</v>
      </c>
      <c r="Q32" s="122">
        <v>0.04846875</v>
      </c>
      <c r="V32" s="69">
        <v>0.0</v>
      </c>
      <c r="X32" s="121">
        <f>IFERROR(__xludf.DUMMYFUNCTION("""COMPUTED_VALUE"""),800000.0)</f>
        <v>800000</v>
      </c>
    </row>
    <row r="33">
      <c r="A33" s="6">
        <v>2.192982456140351</v>
      </c>
      <c r="B33" s="6">
        <v>2.2</v>
      </c>
      <c r="H33" s="69">
        <v>286000.0</v>
      </c>
      <c r="N33" s="122">
        <v>1.0</v>
      </c>
      <c r="Q33" s="122">
        <v>0.04535251215559157</v>
      </c>
      <c r="V33" s="69">
        <v>0.0</v>
      </c>
      <c r="X33" s="121">
        <f>IFERROR(__xludf.DUMMYFUNCTION("""COMPUTED_VALUE"""),1300000.0)</f>
        <v>1300000</v>
      </c>
    </row>
    <row r="34">
      <c r="A34" s="6">
        <v>2.614035087719298</v>
      </c>
      <c r="B34" s="6">
        <v>2.5</v>
      </c>
      <c r="H34" s="69">
        <v>0.0</v>
      </c>
      <c r="N34" s="122">
        <v>1.0</v>
      </c>
      <c r="Q34" s="122">
        <v>0.043549122807017546</v>
      </c>
      <c r="V34" s="69">
        <v>0.0</v>
      </c>
      <c r="X34" s="121">
        <f>IFERROR(__xludf.DUMMYFUNCTION("""COMPUTED_VALUE"""),491578.0)</f>
        <v>491578</v>
      </c>
    </row>
    <row r="35">
      <c r="A35" s="6">
        <v>2.8245614035087714</v>
      </c>
      <c r="B35" s="6">
        <v>2.65</v>
      </c>
      <c r="H35" s="69">
        <v>0.0</v>
      </c>
      <c r="N35" s="122">
        <v>1.0</v>
      </c>
      <c r="Q35" s="122">
        <v>0.08189</v>
      </c>
      <c r="V35" s="69">
        <v>0.0</v>
      </c>
      <c r="X35" s="121">
        <f>IFERROR(__xludf.DUMMYFUNCTION("""COMPUTED_VALUE"""),500000.0)</f>
        <v>500000</v>
      </c>
    </row>
    <row r="36">
      <c r="A36" s="6">
        <v>3.1052631578947367</v>
      </c>
      <c r="B36" s="6">
        <v>2.85</v>
      </c>
      <c r="H36" s="69">
        <v>0.0</v>
      </c>
      <c r="N36" s="122">
        <v>1.0</v>
      </c>
      <c r="Q36" s="122">
        <v>0.010821538461538462</v>
      </c>
      <c r="V36" s="69">
        <v>0.0</v>
      </c>
      <c r="X36" s="121">
        <f>IFERROR(__xludf.DUMMYFUNCTION("""COMPUTED_VALUE"""),10020.0)</f>
        <v>10020</v>
      </c>
    </row>
    <row r="37">
      <c r="A37" s="6">
        <v>2.4035087719298236</v>
      </c>
      <c r="B37" s="6">
        <v>2.3499999999999996</v>
      </c>
      <c r="H37" s="69">
        <v>19606.0</v>
      </c>
      <c r="N37" s="122">
        <v>1.0</v>
      </c>
      <c r="Q37" s="122">
        <v>0.026237952064575715</v>
      </c>
      <c r="V37" s="69">
        <v>0.0</v>
      </c>
      <c r="X37" s="121">
        <f>IFERROR(__xludf.DUMMYFUNCTION("""COMPUTED_VALUE"""),215000.0)</f>
        <v>215000</v>
      </c>
    </row>
    <row r="38">
      <c r="A38" s="6">
        <v>1.0</v>
      </c>
      <c r="B38" s="6">
        <v>1.35</v>
      </c>
      <c r="H38" s="69">
        <v>0.0</v>
      </c>
      <c r="N38" s="122">
        <v>1.0</v>
      </c>
      <c r="Q38" s="122">
        <v>0.035112</v>
      </c>
      <c r="V38" s="69">
        <v>0.0</v>
      </c>
      <c r="X38" s="121">
        <f>IFERROR(__xludf.DUMMYFUNCTION("""COMPUTED_VALUE"""),3000000.0)</f>
        <v>3000000</v>
      </c>
    </row>
    <row r="39">
      <c r="A39" s="6">
        <v>2.8245614035087714</v>
      </c>
      <c r="B39" s="6">
        <v>2.65</v>
      </c>
      <c r="H39" s="69">
        <v>3953.0</v>
      </c>
      <c r="N39" s="122">
        <v>0.014938062466913711</v>
      </c>
      <c r="Q39" s="122">
        <v>0.009134</v>
      </c>
      <c r="V39" s="69">
        <v>944500.0</v>
      </c>
      <c r="X39" s="121">
        <f>IFERROR(__xludf.DUMMYFUNCTION("""COMPUTED_VALUE"""),35000.0)</f>
        <v>35000</v>
      </c>
    </row>
    <row r="40">
      <c r="A40" s="6">
        <v>2.4035087719298245</v>
      </c>
      <c r="B40" s="6">
        <v>2.35</v>
      </c>
      <c r="H40" s="69">
        <v>0.0</v>
      </c>
      <c r="N40" s="122">
        <v>0.04757899655393961</v>
      </c>
      <c r="Q40" s="122">
        <v>0.20169660678642715</v>
      </c>
      <c r="V40" s="69">
        <v>85605.0</v>
      </c>
      <c r="X40" s="121">
        <f>IFERROR(__xludf.DUMMYFUNCTION("""COMPUTED_VALUE"""),344000.0)</f>
        <v>344000</v>
      </c>
    </row>
    <row r="41">
      <c r="A41" s="6">
        <v>2.192982456140351</v>
      </c>
      <c r="B41" s="6">
        <v>2.2</v>
      </c>
      <c r="H41" s="69">
        <v>0.0</v>
      </c>
      <c r="N41" s="122">
        <v>0.015666666666666666</v>
      </c>
      <c r="Q41" s="122">
        <v>0.03161625</v>
      </c>
      <c r="V41" s="69">
        <v>15000.0</v>
      </c>
      <c r="X41" s="121">
        <f>IFERROR(__xludf.DUMMYFUNCTION("""COMPUTED_VALUE"""),250000.0)</f>
        <v>250000</v>
      </c>
    </row>
    <row r="42">
      <c r="A42" s="6">
        <v>1.4210526315789471</v>
      </c>
      <c r="B42" s="6">
        <v>1.65</v>
      </c>
      <c r="H42" s="69">
        <v>317558.0</v>
      </c>
      <c r="N42" s="122">
        <v>1.0</v>
      </c>
      <c r="Q42" s="122">
        <v>0.06529266666666667</v>
      </c>
      <c r="V42" s="69">
        <v>0.0</v>
      </c>
      <c r="X42" s="121">
        <f>IFERROR(__xludf.DUMMYFUNCTION("""COMPUTED_VALUE"""),592741.0)</f>
        <v>592741</v>
      </c>
    </row>
    <row r="43">
      <c r="A43" s="6">
        <v>2.192982456140351</v>
      </c>
      <c r="B43" s="6">
        <v>2.2</v>
      </c>
      <c r="H43" s="69">
        <v>2175.0</v>
      </c>
      <c r="N43" s="122">
        <v>1.0</v>
      </c>
      <c r="Q43" s="122">
        <v>0.06357142857142857</v>
      </c>
      <c r="V43" s="69">
        <v>0.0</v>
      </c>
      <c r="X43" s="121">
        <f>IFERROR(__xludf.DUMMYFUNCTION("""COMPUTED_VALUE"""),2440000.0)</f>
        <v>2440000</v>
      </c>
    </row>
    <row r="44">
      <c r="A44" s="6">
        <v>2.614035087719298</v>
      </c>
      <c r="B44" s="6">
        <v>2.5</v>
      </c>
      <c r="H44" s="69">
        <v>0.0</v>
      </c>
      <c r="N44" s="122">
        <v>0.03764705882352941</v>
      </c>
      <c r="Q44" s="122">
        <v>0.04867441860465116</v>
      </c>
      <c r="V44" s="69">
        <v>5100.0</v>
      </c>
      <c r="X44" s="121">
        <f>IFERROR(__xludf.DUMMYFUNCTION("""COMPUTED_VALUE"""),1050000.0)</f>
        <v>1050000</v>
      </c>
    </row>
    <row r="45">
      <c r="A45" s="6">
        <v>3.7368421052631575</v>
      </c>
      <c r="B45" s="6">
        <v>3.3</v>
      </c>
      <c r="H45" s="69">
        <v>0.0</v>
      </c>
      <c r="N45" s="122">
        <v>1.0</v>
      </c>
      <c r="Q45" s="122">
        <v>0.01156</v>
      </c>
      <c r="V45" s="69">
        <v>0.0</v>
      </c>
      <c r="X45" s="121">
        <f>IFERROR(__xludf.DUMMYFUNCTION("""COMPUTED_VALUE"""),1800000.0)</f>
        <v>1800000</v>
      </c>
    </row>
    <row r="46">
      <c r="A46" s="6">
        <v>3.245614035087719</v>
      </c>
      <c r="B46" s="6">
        <v>2.95</v>
      </c>
      <c r="H46" s="69">
        <v>64847.0</v>
      </c>
      <c r="N46" s="122">
        <v>0.016899130434782608</v>
      </c>
      <c r="Q46" s="122">
        <v>0.0016963333333333333</v>
      </c>
      <c r="V46" s="69">
        <v>1150000.0</v>
      </c>
      <c r="X46" s="121">
        <f>IFERROR(__xludf.DUMMYFUNCTION("""COMPUTED_VALUE"""),5674579.0)</f>
        <v>5674579</v>
      </c>
    </row>
    <row r="47">
      <c r="A47" s="6">
        <v>3.385964912280702</v>
      </c>
      <c r="B47" s="6">
        <v>3.0500000000000003</v>
      </c>
      <c r="H47" s="69">
        <v>2536240.0</v>
      </c>
      <c r="N47" s="122">
        <v>0.096958</v>
      </c>
      <c r="Q47" s="122">
        <v>0.004887463495860755</v>
      </c>
      <c r="V47" s="69">
        <v>1000000.0</v>
      </c>
      <c r="X47" s="121">
        <f>IFERROR(__xludf.DUMMYFUNCTION("""COMPUTED_VALUE"""),40000.0)</f>
        <v>40000</v>
      </c>
    </row>
    <row r="48">
      <c r="A48" s="6">
        <v>2.614035087719298</v>
      </c>
      <c r="B48" s="6">
        <v>2.5</v>
      </c>
      <c r="H48" s="69">
        <v>0.0</v>
      </c>
      <c r="N48" s="122">
        <v>0.012258193916496</v>
      </c>
      <c r="Q48" s="122">
        <v>0.101624</v>
      </c>
      <c r="V48" s="69">
        <v>3121096.0</v>
      </c>
      <c r="X48" s="121">
        <f>IFERROR(__xludf.DUMMYFUNCTION("""COMPUTED_VALUE"""),675789.0)</f>
        <v>675789</v>
      </c>
    </row>
    <row r="49">
      <c r="A49" s="6">
        <v>2.192982456140351</v>
      </c>
      <c r="B49" s="6">
        <v>2.2</v>
      </c>
      <c r="H49" s="69">
        <v>61265.0</v>
      </c>
      <c r="N49" s="122">
        <v>0.004386898930959581</v>
      </c>
      <c r="Q49" s="122">
        <v>0.05504385245901639</v>
      </c>
      <c r="V49" s="69">
        <v>234790.0</v>
      </c>
      <c r="X49" s="121">
        <f>IFERROR(__xludf.DUMMYFUNCTION("""COMPUTED_VALUE"""),131876.0)</f>
        <v>131876</v>
      </c>
    </row>
    <row r="50">
      <c r="A50" s="6">
        <v>2.8245614035087714</v>
      </c>
      <c r="B50" s="6">
        <v>2.65</v>
      </c>
      <c r="H50" s="69">
        <v>369422.0</v>
      </c>
      <c r="N50" s="122">
        <v>1.0</v>
      </c>
      <c r="Q50" s="122">
        <v>0.016968333333333332</v>
      </c>
      <c r="V50" s="69">
        <v>0.0</v>
      </c>
      <c r="X50" s="121">
        <f>IFERROR(__xludf.DUMMYFUNCTION("""COMPUTED_VALUE"""),1400000.0)</f>
        <v>1400000</v>
      </c>
    </row>
    <row r="51">
      <c r="A51" s="6">
        <v>2.8245614035087714</v>
      </c>
      <c r="B51" s="6">
        <v>2.65</v>
      </c>
      <c r="H51" s="69">
        <v>0.0</v>
      </c>
      <c r="N51" s="122">
        <v>1.0</v>
      </c>
      <c r="Q51" s="122">
        <v>0.01406095238095238</v>
      </c>
      <c r="V51" s="69">
        <v>0.0</v>
      </c>
      <c r="X51" s="121">
        <f>IFERROR(__xludf.DUMMYFUNCTION("""COMPUTED_VALUE"""),9000000.0)</f>
        <v>9000000</v>
      </c>
    </row>
    <row r="52">
      <c r="A52" s="6">
        <v>2.614035087719298</v>
      </c>
      <c r="B52" s="6">
        <v>2.5</v>
      </c>
      <c r="H52" s="69">
        <v>10481.0</v>
      </c>
      <c r="N52" s="122">
        <v>0.0862439393939394</v>
      </c>
      <c r="Q52" s="122">
        <v>0.01942277777777778</v>
      </c>
      <c r="V52" s="69">
        <v>1320000.0</v>
      </c>
      <c r="X52" s="121">
        <f>IFERROR(__xludf.DUMMYFUNCTION("""COMPUTED_VALUE"""),3200000.0)</f>
        <v>3200000</v>
      </c>
    </row>
    <row r="53">
      <c r="A53" s="6">
        <v>2.192982456140351</v>
      </c>
      <c r="B53" s="6">
        <v>2.2</v>
      </c>
      <c r="H53" s="69">
        <v>214993.0</v>
      </c>
      <c r="N53" s="122">
        <v>0.0158</v>
      </c>
      <c r="Q53" s="122">
        <v>0.01318194706602904</v>
      </c>
      <c r="V53" s="69">
        <v>570000.0</v>
      </c>
      <c r="X53" s="121">
        <f>IFERROR(__xludf.DUMMYFUNCTION("""COMPUTED_VALUE"""),44421.0)</f>
        <v>44421</v>
      </c>
    </row>
    <row r="54">
      <c r="A54" s="6">
        <v>2.8947368421052633</v>
      </c>
      <c r="B54" s="6">
        <v>2.7</v>
      </c>
      <c r="H54" s="69">
        <v>3896701.0</v>
      </c>
      <c r="N54" s="122">
        <v>1.0</v>
      </c>
      <c r="Q54" s="122">
        <v>0.0638</v>
      </c>
      <c r="V54" s="69">
        <v>0.0</v>
      </c>
      <c r="X54" s="121">
        <f>IFERROR(__xludf.DUMMYFUNCTION("""COMPUTED_VALUE"""),975000.0)</f>
        <v>975000</v>
      </c>
    </row>
    <row r="55">
      <c r="A55" s="6">
        <v>2.8245614035087714</v>
      </c>
      <c r="B55" s="6">
        <v>2.65</v>
      </c>
      <c r="H55" s="69">
        <v>0.0</v>
      </c>
      <c r="N55" s="122">
        <v>1.0</v>
      </c>
      <c r="Q55" s="122">
        <v>0.019923378450966204</v>
      </c>
      <c r="V55" s="69">
        <v>0.0</v>
      </c>
      <c r="X55" s="121">
        <f>IFERROR(__xludf.DUMMYFUNCTION("""COMPUTED_VALUE"""),173798.0)</f>
        <v>173798</v>
      </c>
    </row>
    <row r="56">
      <c r="A56" s="6">
        <v>3.0350877192982453</v>
      </c>
      <c r="B56" s="6">
        <v>2.8</v>
      </c>
      <c r="H56" s="69">
        <v>4682528.0</v>
      </c>
      <c r="N56" s="122">
        <v>0.076675</v>
      </c>
      <c r="Q56" s="122">
        <v>0.02538357142857143</v>
      </c>
      <c r="V56" s="69">
        <v>5000000.0</v>
      </c>
      <c r="X56" s="121">
        <f>IFERROR(__xludf.DUMMYFUNCTION("""COMPUTED_VALUE"""),20000.0)</f>
        <v>20000</v>
      </c>
    </row>
    <row r="57">
      <c r="A57" s="6">
        <v>3.807017543859649</v>
      </c>
      <c r="B57" s="6">
        <v>3.35</v>
      </c>
      <c r="H57" s="69">
        <v>396749.0</v>
      </c>
      <c r="N57" s="122">
        <v>0.013819956097454957</v>
      </c>
      <c r="Q57" s="122">
        <v>0.006646333333333333</v>
      </c>
      <c r="V57" s="69">
        <v>4601100.0</v>
      </c>
      <c r="X57" s="121">
        <f>IFERROR(__xludf.DUMMYFUNCTION("""COMPUTED_VALUE"""),465000.0)</f>
        <v>465000</v>
      </c>
    </row>
    <row r="58">
      <c r="A58" s="6">
        <v>2.192982456140351</v>
      </c>
      <c r="B58" s="6">
        <v>2.2</v>
      </c>
      <c r="H58" s="69">
        <v>950796.0</v>
      </c>
      <c r="N58" s="122">
        <v>0.022706834854819394</v>
      </c>
      <c r="Q58" s="122">
        <v>0.0271090625</v>
      </c>
      <c r="V58" s="69">
        <v>2788940.0</v>
      </c>
      <c r="X58" s="121">
        <f>IFERROR(__xludf.DUMMYFUNCTION("""COMPUTED_VALUE"""),440000.0)</f>
        <v>440000</v>
      </c>
    </row>
    <row r="59">
      <c r="A59" s="6">
        <v>3.1052631578947367</v>
      </c>
      <c r="B59" s="6">
        <v>2.85</v>
      </c>
      <c r="H59" s="69">
        <v>2038139.0</v>
      </c>
      <c r="N59" s="122">
        <v>0.04846875</v>
      </c>
      <c r="Q59" s="122">
        <v>0.03358771752099232</v>
      </c>
      <c r="V59" s="69">
        <v>1600000.0</v>
      </c>
      <c r="X59" s="121">
        <f>IFERROR(__xludf.DUMMYFUNCTION("""COMPUTED_VALUE"""),171000.0)</f>
        <v>171000</v>
      </c>
    </row>
    <row r="60">
      <c r="A60" s="6">
        <v>2.192982456140351</v>
      </c>
      <c r="B60" s="6">
        <v>2.2</v>
      </c>
      <c r="H60" s="69">
        <v>118457.0</v>
      </c>
      <c r="N60" s="122">
        <v>0.04535251215559157</v>
      </c>
      <c r="Q60" s="122">
        <v>0.06968102564102564</v>
      </c>
      <c r="V60" s="69">
        <v>1234000.0</v>
      </c>
      <c r="X60" s="121">
        <f>IFERROR(__xludf.DUMMYFUNCTION("""COMPUTED_VALUE"""),1200000.0)</f>
        <v>1200000</v>
      </c>
    </row>
    <row r="61">
      <c r="A61" s="6">
        <v>2.614035087719298</v>
      </c>
      <c r="B61" s="6">
        <v>2.5</v>
      </c>
      <c r="H61" s="69">
        <v>0.0</v>
      </c>
      <c r="N61" s="122">
        <v>0.043549122807017546</v>
      </c>
      <c r="Q61" s="122">
        <v>0.06755543792218553</v>
      </c>
      <c r="V61" s="69">
        <v>1140000.0</v>
      </c>
      <c r="X61" s="121">
        <f>IFERROR(__xludf.DUMMYFUNCTION("""COMPUTED_VALUE"""),3005000.0)</f>
        <v>3005000</v>
      </c>
    </row>
    <row r="62">
      <c r="A62" s="6">
        <v>3.245614035087719</v>
      </c>
      <c r="B62" s="6">
        <v>2.95</v>
      </c>
      <c r="H62" s="69">
        <v>622601.0</v>
      </c>
      <c r="N62" s="122">
        <v>0.08189</v>
      </c>
      <c r="Q62" s="122">
        <v>0.065708</v>
      </c>
      <c r="V62" s="69">
        <v>800000.0</v>
      </c>
      <c r="X62" s="121">
        <f>IFERROR(__xludf.DUMMYFUNCTION("""COMPUTED_VALUE"""),192000.0)</f>
        <v>192000</v>
      </c>
    </row>
    <row r="63">
      <c r="A63" s="6">
        <v>3.0350877192982453</v>
      </c>
      <c r="B63" s="6">
        <v>2.8</v>
      </c>
      <c r="H63" s="69">
        <v>0.0</v>
      </c>
      <c r="N63" s="122">
        <v>0.010821538461538462</v>
      </c>
      <c r="Q63" s="122">
        <v>0.027735652173913043</v>
      </c>
      <c r="V63" s="69">
        <v>1300000.0</v>
      </c>
      <c r="X63" s="121">
        <f>IFERROR(__xludf.DUMMYFUNCTION("""COMPUTED_VALUE"""),500686.0)</f>
        <v>500686</v>
      </c>
    </row>
    <row r="64">
      <c r="A64" s="6">
        <v>3.0350877192982453</v>
      </c>
      <c r="B64" s="6">
        <v>2.8</v>
      </c>
      <c r="H64" s="69">
        <v>56277.0</v>
      </c>
      <c r="N64" s="122">
        <v>0.026237952064575715</v>
      </c>
      <c r="Q64" s="122">
        <v>0.06185</v>
      </c>
      <c r="V64" s="69">
        <v>491578.0</v>
      </c>
      <c r="X64" s="121">
        <f>IFERROR(__xludf.DUMMYFUNCTION("""COMPUTED_VALUE"""),3182473.0)</f>
        <v>3182473</v>
      </c>
    </row>
    <row r="65">
      <c r="A65" s="6">
        <v>3.807017543859649</v>
      </c>
      <c r="B65" s="6">
        <v>3.35</v>
      </c>
      <c r="H65" s="69">
        <v>418213.0</v>
      </c>
      <c r="N65" s="122">
        <v>0.035112</v>
      </c>
      <c r="Q65" s="122">
        <v>0.09774193548387097</v>
      </c>
      <c r="V65" s="69">
        <v>2000000.0</v>
      </c>
      <c r="X65" s="121">
        <f>IFERROR(__xludf.DUMMYFUNCTION("""COMPUTED_VALUE"""),466986.0)</f>
        <v>466986</v>
      </c>
    </row>
    <row r="66">
      <c r="A66" s="6">
        <v>2.4035087719298245</v>
      </c>
      <c r="B66" s="6">
        <v>2.35</v>
      </c>
      <c r="H66" s="69">
        <v>0.0</v>
      </c>
      <c r="N66" s="122">
        <v>0.009134</v>
      </c>
      <c r="Q66" s="122">
        <v>0.03469545454545454</v>
      </c>
      <c r="V66" s="69">
        <v>500000.0</v>
      </c>
      <c r="X66" s="121">
        <f>IFERROR(__xludf.DUMMYFUNCTION("""COMPUTED_VALUE"""),917981.0)</f>
        <v>917981</v>
      </c>
    </row>
    <row r="67">
      <c r="A67" s="6">
        <v>2.192982456140351</v>
      </c>
      <c r="B67" s="6">
        <v>2.2</v>
      </c>
      <c r="H67" s="69">
        <v>0.0</v>
      </c>
      <c r="N67" s="122">
        <v>0.20169660678642715</v>
      </c>
      <c r="Q67" s="122">
        <v>0.07145614035087719</v>
      </c>
      <c r="V67" s="69">
        <v>10020.0</v>
      </c>
      <c r="X67" s="121">
        <f>IFERROR(__xludf.DUMMYFUNCTION("""COMPUTED_VALUE"""),21700.0)</f>
        <v>21700</v>
      </c>
    </row>
    <row r="68">
      <c r="A68" s="6">
        <v>3.0350877192982453</v>
      </c>
      <c r="B68" s="6">
        <v>2.8</v>
      </c>
      <c r="H68" s="69">
        <v>0.0</v>
      </c>
      <c r="N68" s="122">
        <v>1.0</v>
      </c>
      <c r="Q68" s="122">
        <v>8.808333333333333E-4</v>
      </c>
      <c r="V68" s="69">
        <v>215000.0</v>
      </c>
      <c r="X68" s="121">
        <f>IFERROR(__xludf.DUMMYFUNCTION("""COMPUTED_VALUE"""),36207.0)</f>
        <v>36207</v>
      </c>
    </row>
    <row r="69">
      <c r="A69" s="6">
        <v>4.9298245614035086</v>
      </c>
      <c r="B69" s="6">
        <v>4.15</v>
      </c>
      <c r="H69" s="69">
        <v>0.0</v>
      </c>
      <c r="N69" s="122">
        <v>1.0</v>
      </c>
      <c r="Q69" s="122">
        <v>2.762063227953411E-5</v>
      </c>
      <c r="V69" s="69">
        <v>0.0</v>
      </c>
      <c r="X69" s="121">
        <f>IFERROR(__xludf.DUMMYFUNCTION("""COMPUTED_VALUE"""),1602500.0)</f>
        <v>1602500</v>
      </c>
    </row>
    <row r="70">
      <c r="A70" s="6">
        <v>3.385964912280702</v>
      </c>
      <c r="B70" s="6">
        <v>3.0500000000000003</v>
      </c>
      <c r="H70" s="69">
        <v>41866.0</v>
      </c>
      <c r="N70" s="122">
        <v>1.0</v>
      </c>
      <c r="Q70" s="122">
        <v>0.026296875</v>
      </c>
      <c r="V70" s="69">
        <v>0.0</v>
      </c>
      <c r="X70" s="121">
        <f>IFERROR(__xludf.DUMMYFUNCTION("""COMPUTED_VALUE"""),98560.0)</f>
        <v>98560</v>
      </c>
    </row>
    <row r="71">
      <c r="A71" s="6">
        <v>3.456140350877192</v>
      </c>
      <c r="B71" s="6">
        <v>3.0999999999999996</v>
      </c>
      <c r="H71" s="69">
        <v>0.0</v>
      </c>
      <c r="N71" s="122">
        <v>1.0</v>
      </c>
      <c r="Q71" s="122">
        <v>0.0484295546510188</v>
      </c>
      <c r="V71" s="69">
        <v>0.0</v>
      </c>
      <c r="X71" s="121">
        <f>IFERROR(__xludf.DUMMYFUNCTION("""COMPUTED_VALUE"""),50000.0)</f>
        <v>50000</v>
      </c>
    </row>
    <row r="72">
      <c r="A72" s="6">
        <v>2.8245614035087714</v>
      </c>
      <c r="B72" s="6">
        <v>2.65</v>
      </c>
      <c r="H72" s="69">
        <v>10623.0</v>
      </c>
      <c r="N72" s="122">
        <v>1.0</v>
      </c>
      <c r="Q72" s="122">
        <v>0.00197330817889107</v>
      </c>
      <c r="V72" s="69">
        <v>0.0</v>
      </c>
      <c r="X72" s="121">
        <f>IFERROR(__xludf.DUMMYFUNCTION("""COMPUTED_VALUE"""),134619.0)</f>
        <v>134619</v>
      </c>
    </row>
    <row r="73">
      <c r="A73" s="6">
        <v>2.192982456140351</v>
      </c>
      <c r="B73" s="6">
        <v>2.2</v>
      </c>
      <c r="H73" s="69">
        <v>3400.0</v>
      </c>
      <c r="N73" s="122">
        <v>0.03161625</v>
      </c>
      <c r="Q73" s="122">
        <v>0.0014797017469474459</v>
      </c>
      <c r="V73" s="69">
        <v>1600000.0</v>
      </c>
      <c r="X73" s="121">
        <f>IFERROR(__xludf.DUMMYFUNCTION("""COMPUTED_VALUE"""),235000.0)</f>
        <v>235000</v>
      </c>
    </row>
    <row r="74">
      <c r="A74" s="6">
        <v>1.6315789473684208</v>
      </c>
      <c r="B74" s="6">
        <v>1.7999999999999998</v>
      </c>
      <c r="H74" s="69">
        <v>131164.0</v>
      </c>
      <c r="N74" s="122">
        <v>1.0</v>
      </c>
      <c r="Q74" s="122">
        <v>0.061173379405456106</v>
      </c>
      <c r="V74" s="69">
        <v>0.0</v>
      </c>
      <c r="X74" s="121">
        <f>IFERROR(__xludf.DUMMYFUNCTION("""COMPUTED_VALUE"""),4513039.0)</f>
        <v>4513039</v>
      </c>
    </row>
    <row r="75">
      <c r="A75" s="6">
        <v>3.0350877192982453</v>
      </c>
      <c r="B75" s="6">
        <v>2.8</v>
      </c>
      <c r="H75" s="69">
        <v>1.8442226E7</v>
      </c>
      <c r="N75" s="122">
        <v>0.06529266666666667</v>
      </c>
      <c r="Q75" s="122">
        <v>0.023199933714475103</v>
      </c>
      <c r="V75" s="69">
        <v>3000000.0</v>
      </c>
      <c r="X75" s="121">
        <f>IFERROR(__xludf.DUMMYFUNCTION("""COMPUTED_VALUE"""),723992.0)</f>
        <v>723992</v>
      </c>
    </row>
    <row r="76">
      <c r="A76" s="6">
        <v>2.614035087719298</v>
      </c>
      <c r="B76" s="6">
        <v>2.5</v>
      </c>
      <c r="H76" s="69">
        <v>191851.0</v>
      </c>
      <c r="N76" s="122">
        <v>0.06357142857142857</v>
      </c>
      <c r="Q76" s="122">
        <v>0.017365366614664587</v>
      </c>
      <c r="V76" s="69">
        <v>35000.0</v>
      </c>
      <c r="X76" s="121">
        <f>IFERROR(__xludf.DUMMYFUNCTION("""COMPUTED_VALUE"""),136000.0)</f>
        <v>136000</v>
      </c>
    </row>
    <row r="77">
      <c r="A77" s="6">
        <v>3.0350877192982453</v>
      </c>
      <c r="B77" s="6">
        <v>2.8</v>
      </c>
      <c r="H77" s="69">
        <v>0.0</v>
      </c>
      <c r="N77" s="122">
        <v>1.0</v>
      </c>
      <c r="Q77" s="122">
        <v>4.0584415584415587E-4</v>
      </c>
      <c r="V77" s="69">
        <v>0.0</v>
      </c>
      <c r="X77" s="121">
        <f>IFERROR(__xludf.DUMMYFUNCTION("""COMPUTED_VALUE"""),54238.0)</f>
        <v>54238</v>
      </c>
    </row>
    <row r="78">
      <c r="A78" s="6">
        <v>4.087719298245613</v>
      </c>
      <c r="B78" s="6">
        <v>3.55</v>
      </c>
      <c r="H78" s="69">
        <v>0.0</v>
      </c>
      <c r="N78" s="122">
        <v>1.0</v>
      </c>
      <c r="Q78" s="122">
        <v>0.016661838224916244</v>
      </c>
      <c r="V78" s="69">
        <v>0.0</v>
      </c>
      <c r="X78" s="121">
        <f>IFERROR(__xludf.DUMMYFUNCTION("""COMPUTED_VALUE"""),565000.0)</f>
        <v>565000</v>
      </c>
    </row>
    <row r="79">
      <c r="A79" s="6">
        <v>3.456140350877192</v>
      </c>
      <c r="B79" s="6">
        <v>3.0999999999999996</v>
      </c>
      <c r="H79" s="69">
        <v>72715.0</v>
      </c>
      <c r="N79" s="122">
        <v>0.04867441860465116</v>
      </c>
      <c r="Q79" s="122">
        <v>0.010170212765957446</v>
      </c>
      <c r="V79" s="69">
        <v>344000.0</v>
      </c>
      <c r="X79" s="121">
        <f>IFERROR(__xludf.DUMMYFUNCTION("""COMPUTED_VALUE"""),10613.0)</f>
        <v>10613</v>
      </c>
    </row>
    <row r="80">
      <c r="A80" s="6">
        <v>2.8245614035087714</v>
      </c>
      <c r="B80" s="6">
        <v>2.65</v>
      </c>
      <c r="H80" s="69">
        <v>0.0</v>
      </c>
      <c r="N80" s="122">
        <v>0.01156</v>
      </c>
      <c r="Q80" s="122">
        <v>0.009274444444444445</v>
      </c>
      <c r="V80" s="69">
        <v>250000.0</v>
      </c>
      <c r="X80" s="121">
        <f>IFERROR(__xludf.DUMMYFUNCTION("""COMPUTED_VALUE"""),615901.0)</f>
        <v>615901</v>
      </c>
    </row>
    <row r="81">
      <c r="A81" s="6">
        <v>2.4035087719298245</v>
      </c>
      <c r="B81" s="6">
        <v>2.35</v>
      </c>
      <c r="H81" s="69">
        <v>329427.0</v>
      </c>
      <c r="N81" s="122">
        <v>1.0</v>
      </c>
      <c r="Q81" s="122">
        <v>0.013458337054033879</v>
      </c>
      <c r="V81" s="69">
        <v>0.0</v>
      </c>
      <c r="X81" s="121">
        <f>IFERROR(__xludf.DUMMYFUNCTION("""COMPUTED_VALUE"""),1362263.0)</f>
        <v>1362263</v>
      </c>
    </row>
    <row r="82">
      <c r="A82" s="6">
        <v>4.228070175438596</v>
      </c>
      <c r="B82" s="6">
        <v>3.65</v>
      </c>
      <c r="H82" s="69">
        <v>0.0</v>
      </c>
      <c r="N82" s="122">
        <v>0.0016963333333333333</v>
      </c>
      <c r="Q82" s="122">
        <v>0.02076680405308346</v>
      </c>
      <c r="V82" s="69">
        <v>3000000.0</v>
      </c>
      <c r="X82" s="121">
        <f>IFERROR(__xludf.DUMMYFUNCTION("""COMPUTED_VALUE"""),360200.0)</f>
        <v>360200</v>
      </c>
    </row>
    <row r="83">
      <c r="A83" s="6">
        <v>2.614035087719298</v>
      </c>
      <c r="B83" s="6">
        <v>2.5</v>
      </c>
      <c r="H83" s="69">
        <v>727179.0</v>
      </c>
      <c r="N83" s="122">
        <v>0.004887463495860755</v>
      </c>
      <c r="Q83" s="122">
        <v>0.08148529411764706</v>
      </c>
      <c r="V83" s="69">
        <v>592741.0</v>
      </c>
      <c r="X83" s="121">
        <f>IFERROR(__xludf.DUMMYFUNCTION("""COMPUTED_VALUE"""),526402.0)</f>
        <v>526402</v>
      </c>
    </row>
    <row r="84">
      <c r="A84" s="6">
        <v>3.0350877192982453</v>
      </c>
      <c r="B84" s="6">
        <v>2.8</v>
      </c>
      <c r="H84" s="69">
        <v>0.0</v>
      </c>
      <c r="N84" s="122">
        <v>1.0</v>
      </c>
      <c r="Q84" s="122">
        <v>0.031140528780559756</v>
      </c>
      <c r="V84" s="69">
        <v>0.0</v>
      </c>
      <c r="X84" s="121">
        <f>IFERROR(__xludf.DUMMYFUNCTION("""COMPUTED_VALUE"""),2006203.0)</f>
        <v>2006203</v>
      </c>
    </row>
    <row r="85">
      <c r="A85" s="6">
        <v>2.8245614035087714</v>
      </c>
      <c r="B85" s="6">
        <v>2.65</v>
      </c>
      <c r="H85" s="69">
        <v>0.0</v>
      </c>
      <c r="N85" s="122">
        <v>1.0</v>
      </c>
      <c r="Q85" s="122">
        <v>0.0604</v>
      </c>
      <c r="V85" s="69">
        <v>0.0</v>
      </c>
      <c r="X85" s="121">
        <f>IFERROR(__xludf.DUMMYFUNCTION("""COMPUTED_VALUE"""),114028.0)</f>
        <v>114028</v>
      </c>
    </row>
    <row r="86">
      <c r="A86" s="6">
        <v>3.0350877192982453</v>
      </c>
      <c r="B86" s="6">
        <v>2.8</v>
      </c>
      <c r="H86" s="69">
        <v>17162.0</v>
      </c>
      <c r="N86" s="122">
        <v>0.101624</v>
      </c>
      <c r="Q86" s="122">
        <v>0.038349194384245736</v>
      </c>
      <c r="V86" s="69">
        <v>500000.0</v>
      </c>
      <c r="X86" s="121">
        <f>IFERROR(__xludf.DUMMYFUNCTION("""COMPUTED_VALUE"""),24902.0)</f>
        <v>24902</v>
      </c>
    </row>
    <row r="87">
      <c r="A87" s="6">
        <v>3.5964912280701755</v>
      </c>
      <c r="B87" s="6">
        <v>3.2</v>
      </c>
      <c r="H87" s="69">
        <v>0.0</v>
      </c>
      <c r="N87" s="122">
        <v>0.05504385245901639</v>
      </c>
      <c r="Q87" s="122">
        <v>0.9187775308044637</v>
      </c>
      <c r="V87" s="69">
        <v>2440000.0</v>
      </c>
      <c r="X87" s="121">
        <f>IFERROR(__xludf.DUMMYFUNCTION("""COMPUTED_VALUE"""),104707.0)</f>
        <v>104707</v>
      </c>
    </row>
    <row r="88">
      <c r="A88" s="6">
        <v>2.192982456140351</v>
      </c>
      <c r="B88" s="6">
        <v>2.2</v>
      </c>
      <c r="H88" s="69">
        <v>0.0</v>
      </c>
      <c r="N88" s="122">
        <v>0.016968333333333332</v>
      </c>
      <c r="Q88" s="122">
        <v>0.04032261024486461</v>
      </c>
      <c r="V88" s="69">
        <v>600000.0</v>
      </c>
      <c r="X88" s="121">
        <f>IFERROR(__xludf.DUMMYFUNCTION("""COMPUTED_VALUE"""),1045000.0)</f>
        <v>1045000</v>
      </c>
    </row>
    <row r="89">
      <c r="A89" s="6">
        <v>3.385964912280702</v>
      </c>
      <c r="B89" s="6">
        <v>3.0500000000000003</v>
      </c>
      <c r="H89" s="69">
        <v>184942.0</v>
      </c>
      <c r="N89" s="122">
        <v>0.01406095238095238</v>
      </c>
      <c r="Q89" s="122">
        <v>0.06392583333333333</v>
      </c>
      <c r="V89" s="69">
        <v>1050000.0</v>
      </c>
      <c r="X89" s="121">
        <f>IFERROR(__xludf.DUMMYFUNCTION("""COMPUTED_VALUE"""),570230.0)</f>
        <v>570230</v>
      </c>
    </row>
    <row r="90">
      <c r="A90" s="6">
        <v>2.614035087719298</v>
      </c>
      <c r="B90" s="6">
        <v>2.5</v>
      </c>
      <c r="H90" s="69">
        <v>0.0</v>
      </c>
      <c r="N90" s="122">
        <v>0.01942277777777778</v>
      </c>
      <c r="Q90" s="122">
        <v>0.0015574680732926153</v>
      </c>
      <c r="V90" s="69">
        <v>1800000.0</v>
      </c>
      <c r="X90" s="121">
        <f>IFERROR(__xludf.DUMMYFUNCTION("""COMPUTED_VALUE"""),93618.0)</f>
        <v>93618</v>
      </c>
    </row>
    <row r="91">
      <c r="A91" s="6">
        <v>1.6315789473684208</v>
      </c>
      <c r="B91" s="6">
        <v>1.7999999999999998</v>
      </c>
      <c r="H91" s="69">
        <v>0.0</v>
      </c>
      <c r="N91" s="122">
        <v>1.0</v>
      </c>
      <c r="Q91" s="122">
        <v>0.023406066086375053</v>
      </c>
      <c r="V91" s="69">
        <v>0.0</v>
      </c>
      <c r="X91" s="121">
        <f>IFERROR(__xludf.DUMMYFUNCTION("""COMPUTED_VALUE"""),286233.0)</f>
        <v>286233</v>
      </c>
    </row>
    <row r="92">
      <c r="A92" s="6">
        <v>1.0</v>
      </c>
      <c r="B92" s="6">
        <v>1.35</v>
      </c>
      <c r="H92" s="69">
        <v>0.0</v>
      </c>
      <c r="N92" s="122">
        <v>1.0</v>
      </c>
      <c r="Q92" s="122">
        <v>0.0705412164172818</v>
      </c>
      <c r="V92" s="69">
        <v>0.0</v>
      </c>
      <c r="X92" s="121">
        <f>IFERROR(__xludf.DUMMYFUNCTION("""COMPUTED_VALUE"""),1476214.0)</f>
        <v>1476214</v>
      </c>
    </row>
    <row r="93">
      <c r="A93" s="6">
        <v>3.1052631578947367</v>
      </c>
      <c r="B93" s="6">
        <v>2.85</v>
      </c>
      <c r="H93" s="69">
        <v>0.0</v>
      </c>
      <c r="N93" s="122">
        <v>1.0</v>
      </c>
      <c r="Q93" s="122">
        <v>0.01617146665731224</v>
      </c>
      <c r="V93" s="69">
        <v>0.0</v>
      </c>
      <c r="X93" s="121">
        <f>IFERROR(__xludf.DUMMYFUNCTION("""COMPUTED_VALUE"""),953579.0)</f>
        <v>953579</v>
      </c>
    </row>
    <row r="94">
      <c r="A94" s="6">
        <v>2.0526315789473677</v>
      </c>
      <c r="B94" s="6">
        <v>2.0999999999999996</v>
      </c>
      <c r="H94" s="69">
        <v>0.0</v>
      </c>
      <c r="N94" s="122">
        <v>1.0</v>
      </c>
      <c r="Q94" s="122">
        <v>0.08208176050116457</v>
      </c>
      <c r="V94" s="69">
        <v>0.0</v>
      </c>
      <c r="X94" s="121">
        <f>IFERROR(__xludf.DUMMYFUNCTION("""COMPUTED_VALUE"""),10000.0)</f>
        <v>10000</v>
      </c>
    </row>
    <row r="95">
      <c r="A95" s="6">
        <v>2.192982456140351</v>
      </c>
      <c r="B95" s="6">
        <v>2.2</v>
      </c>
      <c r="H95" s="69">
        <v>0.0</v>
      </c>
      <c r="N95" s="122">
        <v>1.0</v>
      </c>
      <c r="Q95" s="122">
        <v>0.0030847985330493665</v>
      </c>
      <c r="V95" s="69">
        <v>0.0</v>
      </c>
      <c r="X95" s="121">
        <f>IFERROR(__xludf.DUMMYFUNCTION("""COMPUTED_VALUE"""),87700.0)</f>
        <v>87700</v>
      </c>
    </row>
    <row r="96">
      <c r="A96" s="6">
        <v>1.4210526315789471</v>
      </c>
      <c r="B96" s="6">
        <v>1.65</v>
      </c>
      <c r="H96" s="69">
        <v>0.0</v>
      </c>
      <c r="N96" s="122">
        <v>1.0</v>
      </c>
      <c r="Q96" s="122">
        <v>0.04250430622009569</v>
      </c>
      <c r="V96" s="69">
        <v>0.0</v>
      </c>
      <c r="X96" s="121">
        <f>IFERROR(__xludf.DUMMYFUNCTION("""COMPUTED_VALUE"""),63078.0)</f>
        <v>63078</v>
      </c>
    </row>
    <row r="97">
      <c r="A97" s="6">
        <v>2.192982456140351</v>
      </c>
      <c r="B97" s="6">
        <v>2.2</v>
      </c>
      <c r="H97" s="69">
        <v>68.0</v>
      </c>
      <c r="N97" s="122">
        <v>1.0</v>
      </c>
      <c r="Q97" s="122">
        <v>0.025919365869912142</v>
      </c>
      <c r="V97" s="69">
        <v>0.0</v>
      </c>
      <c r="X97" s="121">
        <f>IFERROR(__xludf.DUMMYFUNCTION("""COMPUTED_VALUE"""),238214.0)</f>
        <v>238214</v>
      </c>
    </row>
    <row r="98">
      <c r="A98" s="6">
        <v>3.1052631578947367</v>
      </c>
      <c r="B98" s="6">
        <v>2.85</v>
      </c>
      <c r="H98" s="69">
        <v>1943802.0</v>
      </c>
      <c r="N98" s="122">
        <v>0.01318194706602904</v>
      </c>
      <c r="Q98" s="122">
        <v>0.06178299045055438</v>
      </c>
      <c r="V98" s="69">
        <v>5674579.0</v>
      </c>
      <c r="X98" s="121">
        <f>IFERROR(__xludf.DUMMYFUNCTION("""COMPUTED_VALUE"""),6595370.0)</f>
        <v>6595370</v>
      </c>
    </row>
    <row r="99">
      <c r="A99" s="6">
        <v>1.0</v>
      </c>
      <c r="B99" s="6">
        <v>1.35</v>
      </c>
      <c r="H99" s="69">
        <v>0.0</v>
      </c>
      <c r="N99" s="122">
        <v>1.0</v>
      </c>
      <c r="Q99" s="122">
        <v>0.08663920652056192</v>
      </c>
      <c r="V99" s="69">
        <v>0.0</v>
      </c>
      <c r="X99" s="121">
        <f>IFERROR(__xludf.DUMMYFUNCTION("""COMPUTED_VALUE"""),6991019.0)</f>
        <v>6991019</v>
      </c>
    </row>
    <row r="100">
      <c r="A100" s="6">
        <v>2.614035087719298</v>
      </c>
      <c r="B100" s="6">
        <v>2.5</v>
      </c>
      <c r="H100" s="69">
        <v>0.0</v>
      </c>
      <c r="N100" s="122">
        <v>1.0</v>
      </c>
      <c r="Q100" s="122">
        <v>0.005178788441242259</v>
      </c>
      <c r="V100" s="69">
        <v>0.0</v>
      </c>
      <c r="X100" s="121">
        <f>IFERROR(__xludf.DUMMYFUNCTION("""COMPUTED_VALUE"""),870000.0)</f>
        <v>870000</v>
      </c>
    </row>
    <row r="101">
      <c r="A101" s="6">
        <v>3.1052631578947367</v>
      </c>
      <c r="B101" s="6">
        <v>2.85</v>
      </c>
      <c r="H101" s="69">
        <v>21045.0</v>
      </c>
      <c r="N101" s="122">
        <v>0.0638</v>
      </c>
      <c r="Q101" s="122">
        <v>0.0025849982015124073</v>
      </c>
      <c r="V101" s="69">
        <v>40000.0</v>
      </c>
      <c r="X101" s="121">
        <f>IFERROR(__xludf.DUMMYFUNCTION("""COMPUTED_VALUE"""),240655.0)</f>
        <v>240655</v>
      </c>
    </row>
    <row r="102">
      <c r="A102" s="6">
        <v>1.6315789473684208</v>
      </c>
      <c r="B102" s="6">
        <v>1.7999999999999998</v>
      </c>
      <c r="H102" s="69">
        <v>9301.0</v>
      </c>
      <c r="N102" s="122">
        <v>0.019923378450966204</v>
      </c>
      <c r="Q102" s="122">
        <v>0.0833</v>
      </c>
      <c r="V102" s="69">
        <v>675789.0</v>
      </c>
      <c r="X102" s="121">
        <f>IFERROR(__xludf.DUMMYFUNCTION("""COMPUTED_VALUE"""),224685.0)</f>
        <v>224685</v>
      </c>
    </row>
    <row r="103">
      <c r="A103" s="6">
        <v>2.5438596491228074</v>
      </c>
      <c r="B103" s="6">
        <v>2.45</v>
      </c>
      <c r="H103" s="69">
        <v>510377.0</v>
      </c>
      <c r="N103" s="122">
        <v>1.0</v>
      </c>
      <c r="Q103" s="122">
        <v>0.025793462062842828</v>
      </c>
      <c r="V103" s="69">
        <v>131876.0</v>
      </c>
      <c r="X103" s="121">
        <f>IFERROR(__xludf.DUMMYFUNCTION("""COMPUTED_VALUE"""),2396006.0)</f>
        <v>2396006</v>
      </c>
    </row>
    <row r="104">
      <c r="A104" s="6">
        <v>1.0</v>
      </c>
      <c r="B104" s="6">
        <v>1.35</v>
      </c>
      <c r="H104" s="69">
        <v>0.0</v>
      </c>
      <c r="N104" s="122">
        <v>1.0</v>
      </c>
      <c r="Q104" s="122">
        <v>0.05868</v>
      </c>
      <c r="V104" s="69">
        <v>0.0</v>
      </c>
      <c r="X104" s="121">
        <f>IFERROR(__xludf.DUMMYFUNCTION("""COMPUTED_VALUE"""),288392.0)</f>
        <v>288392</v>
      </c>
    </row>
    <row r="105">
      <c r="A105" s="6">
        <v>2.192982456140351</v>
      </c>
      <c r="B105" s="6">
        <v>2.2</v>
      </c>
      <c r="H105" s="69">
        <v>2388.0</v>
      </c>
      <c r="N105" s="122">
        <v>1.0</v>
      </c>
      <c r="Q105" s="122">
        <v>0.0032966666666666665</v>
      </c>
      <c r="V105" s="69">
        <v>0.0</v>
      </c>
      <c r="X105" s="121">
        <f>IFERROR(__xludf.DUMMYFUNCTION("""COMPUTED_VALUE"""),1921581.0)</f>
        <v>1921581</v>
      </c>
    </row>
    <row r="106">
      <c r="A106" s="6">
        <v>2.192982456140351</v>
      </c>
      <c r="B106" s="6">
        <v>2.2</v>
      </c>
      <c r="H106" s="69">
        <v>86992.0</v>
      </c>
      <c r="N106" s="122">
        <v>0.02538357142857143</v>
      </c>
      <c r="Q106" s="122">
        <v>0.028722073429773228</v>
      </c>
      <c r="V106" s="69">
        <v>1400000.0</v>
      </c>
      <c r="X106" s="121">
        <f>IFERROR(__xludf.DUMMYFUNCTION("""COMPUTED_VALUE"""),1552290.0)</f>
        <v>1552290</v>
      </c>
    </row>
    <row r="107">
      <c r="A107" s="6">
        <v>2.192982456140351</v>
      </c>
      <c r="B107" s="6">
        <v>2.2</v>
      </c>
      <c r="H107" s="69">
        <v>906604.0</v>
      </c>
      <c r="N107" s="122">
        <v>1.0</v>
      </c>
      <c r="Q107" s="122">
        <v>0.04799776206641932</v>
      </c>
      <c r="V107" s="69">
        <v>0.0</v>
      </c>
      <c r="X107" s="121">
        <f>IFERROR(__xludf.DUMMYFUNCTION("""COMPUTED_VALUE"""),100000.0)</f>
        <v>100000</v>
      </c>
    </row>
    <row r="108">
      <c r="A108" s="6">
        <v>2.8245614035087714</v>
      </c>
      <c r="B108" s="6">
        <v>2.65</v>
      </c>
      <c r="H108" s="69">
        <v>0.0</v>
      </c>
      <c r="N108" s="122">
        <v>1.0</v>
      </c>
      <c r="Q108" s="122">
        <v>0.02455321606192173</v>
      </c>
      <c r="V108" s="69">
        <v>0.0</v>
      </c>
      <c r="X108" s="121">
        <f>IFERROR(__xludf.DUMMYFUNCTION("""COMPUTED_VALUE"""),329757.0)</f>
        <v>329757</v>
      </c>
    </row>
    <row r="109">
      <c r="A109" s="6">
        <v>2.192982456140351</v>
      </c>
      <c r="B109" s="6">
        <v>2.2</v>
      </c>
      <c r="H109" s="69">
        <v>4642737.0</v>
      </c>
      <c r="N109" s="122">
        <v>0.006646333333333333</v>
      </c>
      <c r="Q109" s="122">
        <v>0.015879310344827587</v>
      </c>
      <c r="V109" s="69">
        <v>9000000.0</v>
      </c>
      <c r="X109" s="121">
        <f>IFERROR(__xludf.DUMMYFUNCTION("""COMPUTED_VALUE"""),170166.0)</f>
        <v>170166</v>
      </c>
    </row>
    <row r="110">
      <c r="A110" s="6">
        <v>2.192982456140351</v>
      </c>
      <c r="B110" s="6">
        <v>2.2</v>
      </c>
      <c r="H110" s="69">
        <v>110.0</v>
      </c>
      <c r="N110" s="122">
        <v>1.0</v>
      </c>
      <c r="Q110" s="122">
        <v>0.02015333153269203</v>
      </c>
      <c r="V110" s="69">
        <v>0.0</v>
      </c>
      <c r="X110" s="121">
        <f>IFERROR(__xludf.DUMMYFUNCTION("""COMPUTED_VALUE"""),238800.0)</f>
        <v>238800</v>
      </c>
    </row>
    <row r="111">
      <c r="A111" s="6">
        <v>2.614035087719298</v>
      </c>
      <c r="B111" s="6">
        <v>2.5</v>
      </c>
      <c r="H111" s="69">
        <v>2667891.0</v>
      </c>
      <c r="N111" s="122">
        <v>0.0271090625</v>
      </c>
      <c r="Q111" s="122">
        <v>0.012363976233393418</v>
      </c>
      <c r="V111" s="69">
        <v>3200000.0</v>
      </c>
      <c r="X111" s="121">
        <f>IFERROR(__xludf.DUMMYFUNCTION("""COMPUTED_VALUE"""),234080.0)</f>
        <v>234080</v>
      </c>
    </row>
    <row r="112">
      <c r="A112" s="6">
        <v>1.0</v>
      </c>
      <c r="B112" s="6">
        <v>1.35</v>
      </c>
      <c r="H112" s="69">
        <v>6211.0</v>
      </c>
      <c r="N112" s="122">
        <v>1.0</v>
      </c>
      <c r="Q112" s="122">
        <v>0.029110945465078135</v>
      </c>
      <c r="V112" s="69">
        <v>0.0</v>
      </c>
      <c r="X112" s="121">
        <f>IFERROR(__xludf.DUMMYFUNCTION("""COMPUTED_VALUE"""),3711000.0)</f>
        <v>3711000</v>
      </c>
    </row>
    <row r="113">
      <c r="A113" s="6">
        <v>1.0</v>
      </c>
      <c r="B113" s="6">
        <v>1.35</v>
      </c>
      <c r="H113" s="69">
        <v>0.0</v>
      </c>
      <c r="N113" s="122">
        <v>1.0</v>
      </c>
      <c r="Q113" s="122">
        <v>0.024386945546339703</v>
      </c>
      <c r="V113" s="69">
        <v>0.0</v>
      </c>
      <c r="X113" s="121">
        <f>IFERROR(__xludf.DUMMYFUNCTION("""COMPUTED_VALUE"""),700000.0)</f>
        <v>700000</v>
      </c>
    </row>
    <row r="114">
      <c r="A114" s="6">
        <v>3.245614035087719</v>
      </c>
      <c r="B114" s="6">
        <v>2.95</v>
      </c>
      <c r="H114" s="69">
        <v>1020.0</v>
      </c>
      <c r="N114" s="122">
        <v>0.03358771752099232</v>
      </c>
      <c r="Q114" s="122">
        <v>0.01431945882062739</v>
      </c>
      <c r="V114" s="69">
        <v>44421.0</v>
      </c>
      <c r="X114" s="121">
        <f>IFERROR(__xludf.DUMMYFUNCTION("""COMPUTED_VALUE"""),537500.0)</f>
        <v>537500</v>
      </c>
    </row>
    <row r="115">
      <c r="A115" s="6">
        <v>1.6315789473684208</v>
      </c>
      <c r="B115" s="6">
        <v>1.7999999999999998</v>
      </c>
      <c r="H115" s="69">
        <v>647.0</v>
      </c>
      <c r="N115" s="122">
        <v>0.06968102564102564</v>
      </c>
      <c r="Q115" s="122">
        <v>0.014106900128197696</v>
      </c>
      <c r="V115" s="69">
        <v>975000.0</v>
      </c>
      <c r="X115" s="121">
        <f>IFERROR(__xludf.DUMMYFUNCTION("""COMPUTED_VALUE"""),11000.0)</f>
        <v>11000</v>
      </c>
    </row>
    <row r="116">
      <c r="A116" s="6">
        <v>1.7719298245614032</v>
      </c>
      <c r="B116" s="6">
        <v>1.9</v>
      </c>
      <c r="H116" s="69">
        <v>255128.0</v>
      </c>
      <c r="N116" s="122">
        <v>1.0</v>
      </c>
      <c r="Q116" s="122">
        <v>0.01343</v>
      </c>
      <c r="V116" s="69">
        <v>0.0</v>
      </c>
      <c r="X116" s="121">
        <f>IFERROR(__xludf.DUMMYFUNCTION("""COMPUTED_VALUE"""),81000.0)</f>
        <v>81000</v>
      </c>
    </row>
    <row r="117">
      <c r="A117" s="6">
        <v>2.192982456140351</v>
      </c>
      <c r="B117" s="6">
        <v>2.2</v>
      </c>
      <c r="H117" s="69">
        <v>8008.0</v>
      </c>
      <c r="N117" s="122">
        <v>1.0</v>
      </c>
      <c r="Q117" s="122">
        <v>0.03763983781997046</v>
      </c>
      <c r="V117" s="69">
        <v>0.0</v>
      </c>
      <c r="X117" s="121">
        <f>IFERROR(__xludf.DUMMYFUNCTION("""COMPUTED_VALUE"""),63063.0)</f>
        <v>63063</v>
      </c>
    </row>
    <row r="118">
      <c r="A118" s="6">
        <v>2.614035087719298</v>
      </c>
      <c r="B118" s="6">
        <v>2.5</v>
      </c>
      <c r="H118" s="69">
        <v>11163.0</v>
      </c>
      <c r="N118" s="122">
        <v>0.06755543792218553</v>
      </c>
      <c r="Q118" s="122">
        <v>0.009831576225567976</v>
      </c>
      <c r="V118" s="69">
        <v>173798.0</v>
      </c>
      <c r="X118" s="121">
        <f>IFERROR(__xludf.DUMMYFUNCTION("""COMPUTED_VALUE"""),320080.0)</f>
        <v>320080</v>
      </c>
    </row>
    <row r="119">
      <c r="A119" s="6">
        <v>3.526315789473684</v>
      </c>
      <c r="B119" s="6">
        <v>3.15</v>
      </c>
      <c r="H119" s="69">
        <v>79000.0</v>
      </c>
      <c r="N119" s="122">
        <v>0.065708</v>
      </c>
      <c r="Q119" s="122">
        <v>0.02735111111111111</v>
      </c>
      <c r="V119" s="69">
        <v>250000.0</v>
      </c>
      <c r="X119" s="121">
        <f>IFERROR(__xludf.DUMMYFUNCTION("""COMPUTED_VALUE"""),925000.0)</f>
        <v>925000</v>
      </c>
    </row>
    <row r="120">
      <c r="A120" s="6">
        <v>1.7719298245614032</v>
      </c>
      <c r="B120" s="6">
        <v>1.9</v>
      </c>
      <c r="H120" s="69">
        <v>156079.0</v>
      </c>
      <c r="N120" s="122">
        <v>1.0</v>
      </c>
      <c r="Q120" s="122">
        <v>0.03164154103852596</v>
      </c>
      <c r="V120" s="69">
        <v>0.0</v>
      </c>
      <c r="X120" s="121">
        <f>IFERROR(__xludf.DUMMYFUNCTION("""COMPUTED_VALUE"""),99933.0)</f>
        <v>99933</v>
      </c>
    </row>
    <row r="121">
      <c r="A121" s="6">
        <v>2.192982456140351</v>
      </c>
      <c r="B121" s="6">
        <v>2.2</v>
      </c>
      <c r="H121" s="69">
        <v>27916.0</v>
      </c>
      <c r="N121" s="122">
        <v>0.027735652173913043</v>
      </c>
      <c r="Q121" s="122">
        <v>0.009184894053315107</v>
      </c>
      <c r="V121" s="69">
        <v>1150000.0</v>
      </c>
      <c r="X121" s="121">
        <f>IFERROR(__xludf.DUMMYFUNCTION("""COMPUTED_VALUE"""),106803.0)</f>
        <v>106803</v>
      </c>
    </row>
    <row r="122">
      <c r="A122" s="6">
        <v>1.0</v>
      </c>
      <c r="B122" s="6">
        <v>1.35</v>
      </c>
      <c r="H122" s="69">
        <v>0.0</v>
      </c>
      <c r="N122" s="122">
        <v>0.06185</v>
      </c>
      <c r="Q122" s="122">
        <v>0.031583670169765564</v>
      </c>
      <c r="V122" s="69">
        <v>20000.0</v>
      </c>
      <c r="X122" s="121">
        <f>IFERROR(__xludf.DUMMYFUNCTION("""COMPUTED_VALUE"""),165974.0)</f>
        <v>165974</v>
      </c>
    </row>
    <row r="123">
      <c r="A123" s="6">
        <v>1.6315789473684208</v>
      </c>
      <c r="B123" s="6">
        <v>1.7999999999999998</v>
      </c>
      <c r="H123" s="69">
        <v>0.0</v>
      </c>
      <c r="N123" s="122">
        <v>0.09774193548387097</v>
      </c>
      <c r="Q123" s="122">
        <v>0.035211428571428574</v>
      </c>
      <c r="V123" s="69">
        <v>465000.0</v>
      </c>
      <c r="X123" s="121">
        <f>IFERROR(__xludf.DUMMYFUNCTION("""COMPUTED_VALUE"""),339124.0)</f>
        <v>339124</v>
      </c>
    </row>
    <row r="124">
      <c r="A124" s="6">
        <v>2.614035087719298</v>
      </c>
      <c r="B124" s="6">
        <v>2.5</v>
      </c>
      <c r="H124" s="69">
        <v>0.0</v>
      </c>
      <c r="N124" s="122">
        <v>1.0</v>
      </c>
      <c r="Q124" s="122">
        <v>0.018813023255813955</v>
      </c>
      <c r="V124" s="69">
        <v>0.0</v>
      </c>
      <c r="X124" s="121">
        <f>IFERROR(__xludf.DUMMYFUNCTION("""COMPUTED_VALUE"""),292186.0)</f>
        <v>292186</v>
      </c>
    </row>
    <row r="125">
      <c r="A125" s="6">
        <v>3.596491228070175</v>
      </c>
      <c r="B125" s="6">
        <v>3.1999999999999997</v>
      </c>
      <c r="H125" s="69">
        <v>0.0</v>
      </c>
      <c r="N125" s="122">
        <v>1.0</v>
      </c>
      <c r="Q125" s="122">
        <v>0.8409090909090909</v>
      </c>
      <c r="V125" s="69">
        <v>0.0</v>
      </c>
      <c r="X125" s="121">
        <f>IFERROR(__xludf.DUMMYFUNCTION("""COMPUTED_VALUE"""),4035000.0)</f>
        <v>4035000</v>
      </c>
    </row>
    <row r="126">
      <c r="A126" s="6">
        <v>3.0350877192982453</v>
      </c>
      <c r="B126" s="6">
        <v>2.8</v>
      </c>
      <c r="H126" s="69">
        <v>0.0</v>
      </c>
      <c r="N126" s="122">
        <v>0.03469545454545454</v>
      </c>
      <c r="Q126" s="122">
        <v>0.07398765432098765</v>
      </c>
      <c r="V126" s="69">
        <v>440000.0</v>
      </c>
      <c r="X126" s="121">
        <f>IFERROR(__xludf.DUMMYFUNCTION("""COMPUTED_VALUE"""),5831485.0)</f>
        <v>5831485</v>
      </c>
    </row>
    <row r="127">
      <c r="A127" s="6">
        <v>2.614035087719298</v>
      </c>
      <c r="B127" s="6">
        <v>2.5</v>
      </c>
      <c r="H127" s="69">
        <v>0.0</v>
      </c>
      <c r="N127" s="122">
        <v>0.07145614035087719</v>
      </c>
      <c r="Q127" s="122">
        <v>0.07546421832136117</v>
      </c>
      <c r="V127" s="69">
        <v>171000.0</v>
      </c>
      <c r="X127" s="121">
        <f>IFERROR(__xludf.DUMMYFUNCTION("""COMPUTED_VALUE"""),86793.0)</f>
        <v>86793</v>
      </c>
    </row>
    <row r="128">
      <c r="A128" s="6">
        <v>2.8245614035087714</v>
      </c>
      <c r="B128" s="6">
        <v>2.65</v>
      </c>
      <c r="H128" s="69">
        <v>0.0</v>
      </c>
      <c r="N128" s="122">
        <v>1.0</v>
      </c>
      <c r="Q128" s="122">
        <v>0.04815983504123969</v>
      </c>
      <c r="V128" s="69">
        <v>0.0</v>
      </c>
      <c r="X128" s="121">
        <f>IFERROR(__xludf.DUMMYFUNCTION("""COMPUTED_VALUE"""),68428.0)</f>
        <v>68428</v>
      </c>
    </row>
    <row r="129">
      <c r="A129" s="6">
        <v>3.807017543859649</v>
      </c>
      <c r="B129" s="6">
        <v>3.35</v>
      </c>
      <c r="H129" s="69">
        <v>0.0</v>
      </c>
      <c r="N129" s="122">
        <v>8.808333333333333E-4</v>
      </c>
      <c r="Q129" s="122">
        <v>0.020758918918918918</v>
      </c>
      <c r="V129" s="69">
        <v>1200000.0</v>
      </c>
      <c r="X129" s="121">
        <f>IFERROR(__xludf.DUMMYFUNCTION("""COMPUTED_VALUE"""),481341.0)</f>
        <v>481341</v>
      </c>
    </row>
    <row r="130">
      <c r="A130" s="6">
        <v>3.596491228070175</v>
      </c>
      <c r="B130" s="6">
        <v>3.1999999999999997</v>
      </c>
      <c r="H130" s="69">
        <v>0.0</v>
      </c>
      <c r="N130" s="122">
        <v>2.762063227953411E-5</v>
      </c>
      <c r="Q130" s="122">
        <v>0.03021024086137712</v>
      </c>
      <c r="V130" s="69">
        <v>3005000.0</v>
      </c>
      <c r="X130" s="121">
        <f>IFERROR(__xludf.DUMMYFUNCTION("""COMPUTED_VALUE"""),300000.0)</f>
        <v>300000</v>
      </c>
    </row>
    <row r="131">
      <c r="A131" s="6">
        <v>2.614035087719298</v>
      </c>
      <c r="B131" s="6">
        <v>2.5</v>
      </c>
      <c r="H131" s="69">
        <v>0.0</v>
      </c>
      <c r="N131" s="122">
        <v>1.0</v>
      </c>
      <c r="Q131" s="122">
        <v>0.17987322453489135</v>
      </c>
      <c r="V131" s="69">
        <v>0.0</v>
      </c>
      <c r="X131" s="121">
        <f>IFERROR(__xludf.DUMMYFUNCTION("""COMPUTED_VALUE"""),160000.0)</f>
        <v>160000</v>
      </c>
    </row>
    <row r="132">
      <c r="A132" s="6">
        <v>2.333333333333333</v>
      </c>
      <c r="B132" s="6">
        <v>2.3</v>
      </c>
      <c r="H132" s="69">
        <v>305370.0</v>
      </c>
      <c r="N132" s="122">
        <v>1.0</v>
      </c>
      <c r="Q132" s="122">
        <v>0.08675455191777025</v>
      </c>
      <c r="V132" s="69">
        <v>0.0</v>
      </c>
      <c r="X132" s="121">
        <f>IFERROR(__xludf.DUMMYFUNCTION("""COMPUTED_VALUE"""),2100000.0)</f>
        <v>2100000</v>
      </c>
    </row>
    <row r="133">
      <c r="A133" s="6">
        <v>3.385964912280701</v>
      </c>
      <c r="B133" s="6">
        <v>3.05</v>
      </c>
      <c r="H133" s="69">
        <v>0.0</v>
      </c>
      <c r="N133" s="122">
        <v>1.0</v>
      </c>
      <c r="Q133" s="122">
        <v>0.07350113822672533</v>
      </c>
      <c r="V133" s="69">
        <v>0.0</v>
      </c>
      <c r="X133" s="121">
        <f>IFERROR(__xludf.DUMMYFUNCTION("""COMPUTED_VALUE"""),25032.0)</f>
        <v>25032</v>
      </c>
    </row>
    <row r="134">
      <c r="A134" s="6">
        <v>3.0350877192982453</v>
      </c>
      <c r="B134" s="6">
        <v>2.8</v>
      </c>
      <c r="H134" s="69">
        <v>2293.0</v>
      </c>
      <c r="N134" s="122">
        <v>0.026296875</v>
      </c>
      <c r="Q134" s="122">
        <v>0.023847822962085794</v>
      </c>
      <c r="V134" s="69">
        <v>192000.0</v>
      </c>
      <c r="X134" s="121">
        <f>IFERROR(__xludf.DUMMYFUNCTION("""COMPUTED_VALUE"""),1410090.0)</f>
        <v>1410090</v>
      </c>
    </row>
    <row r="135">
      <c r="A135" s="6">
        <v>3.1754385964912277</v>
      </c>
      <c r="B135" s="6">
        <v>2.9</v>
      </c>
      <c r="H135" s="69">
        <v>782715.0</v>
      </c>
      <c r="N135" s="122">
        <v>1.0</v>
      </c>
      <c r="Q135" s="122">
        <v>0.018770508054522926</v>
      </c>
      <c r="V135" s="69">
        <v>0.0</v>
      </c>
      <c r="X135" s="121">
        <f>IFERROR(__xludf.DUMMYFUNCTION("""COMPUTED_VALUE"""),203768.0)</f>
        <v>203768</v>
      </c>
    </row>
    <row r="136">
      <c r="A136" s="6">
        <v>2.614035087719298</v>
      </c>
      <c r="B136" s="6">
        <v>2.5</v>
      </c>
      <c r="H136" s="69">
        <v>0.0</v>
      </c>
      <c r="N136" s="122">
        <v>0.0484295546510188</v>
      </c>
      <c r="Q136" s="122">
        <v>0.01425605999158019</v>
      </c>
      <c r="V136" s="69">
        <v>500686.0</v>
      </c>
      <c r="X136" s="121">
        <f>IFERROR(__xludf.DUMMYFUNCTION("""COMPUTED_VALUE"""),18148.0)</f>
        <v>18148</v>
      </c>
    </row>
    <row r="137">
      <c r="A137" s="6">
        <v>2.192982456140351</v>
      </c>
      <c r="B137" s="6">
        <v>2.2</v>
      </c>
      <c r="H137" s="69">
        <v>0.0</v>
      </c>
      <c r="N137" s="122">
        <v>1.0</v>
      </c>
      <c r="Q137" s="122">
        <v>0.013514914797276277</v>
      </c>
      <c r="V137" s="69">
        <v>0.0</v>
      </c>
      <c r="X137" s="121">
        <f>IFERROR(__xludf.DUMMYFUNCTION("""COMPUTED_VALUE"""),5000.0)</f>
        <v>5000</v>
      </c>
    </row>
    <row r="138">
      <c r="A138" s="6">
        <v>3.526315789473684</v>
      </c>
      <c r="B138" s="6">
        <v>3.15</v>
      </c>
      <c r="H138" s="69">
        <v>813613.0</v>
      </c>
      <c r="N138" s="122">
        <v>0.00197330817889107</v>
      </c>
      <c r="Q138" s="122">
        <v>0.09373355936166482</v>
      </c>
      <c r="V138" s="69">
        <v>3182473.0</v>
      </c>
      <c r="X138" s="121">
        <f>IFERROR(__xludf.DUMMYFUNCTION("""COMPUTED_VALUE"""),1796000.0)</f>
        <v>1796000</v>
      </c>
    </row>
    <row r="139">
      <c r="A139" s="6">
        <v>2.192982456140351</v>
      </c>
      <c r="B139" s="6">
        <v>2.2</v>
      </c>
      <c r="H139" s="69">
        <v>759911.0</v>
      </c>
      <c r="N139" s="122">
        <v>0.0014797017469474459</v>
      </c>
      <c r="Q139" s="122">
        <v>0.0055823210572130775</v>
      </c>
      <c r="V139" s="69">
        <v>466986.0</v>
      </c>
      <c r="X139" s="121">
        <f>IFERROR(__xludf.DUMMYFUNCTION("""COMPUTED_VALUE"""),3476667.0)</f>
        <v>3476667</v>
      </c>
    </row>
    <row r="140">
      <c r="A140" s="6">
        <v>2.192982456140351</v>
      </c>
      <c r="B140" s="6">
        <v>2.2</v>
      </c>
      <c r="H140" s="69">
        <v>500.0</v>
      </c>
      <c r="N140" s="122">
        <v>1.0</v>
      </c>
      <c r="Q140" s="122">
        <v>0.051873333333333334</v>
      </c>
      <c r="V140" s="69">
        <v>0.0</v>
      </c>
      <c r="X140" s="121">
        <f>IFERROR(__xludf.DUMMYFUNCTION("""COMPUTED_VALUE"""),1.3815635E7)</f>
        <v>13815635</v>
      </c>
    </row>
    <row r="141">
      <c r="A141" s="6">
        <v>2.4035087719298245</v>
      </c>
      <c r="B141" s="6">
        <v>2.35</v>
      </c>
      <c r="H141" s="69">
        <v>72144.0</v>
      </c>
      <c r="N141" s="122">
        <v>0.061173379405456106</v>
      </c>
      <c r="Q141" s="122">
        <v>0.026337142857142858</v>
      </c>
      <c r="V141" s="69">
        <v>917981.0</v>
      </c>
      <c r="X141" s="121">
        <f>IFERROR(__xludf.DUMMYFUNCTION("""COMPUTED_VALUE"""),1243450.0)</f>
        <v>1243450</v>
      </c>
    </row>
    <row r="142">
      <c r="A142" s="6">
        <v>2.8245614035087714</v>
      </c>
      <c r="B142" s="6">
        <v>2.65</v>
      </c>
      <c r="H142" s="69">
        <v>0.0</v>
      </c>
      <c r="N142" s="122">
        <v>1.0</v>
      </c>
      <c r="Q142" s="122">
        <v>0.21380632790028764</v>
      </c>
      <c r="V142" s="69">
        <v>21700.0</v>
      </c>
      <c r="X142" s="121">
        <f>IFERROR(__xludf.DUMMYFUNCTION("""COMPUTED_VALUE"""),25000.0)</f>
        <v>25000</v>
      </c>
    </row>
    <row r="143">
      <c r="A143" s="6">
        <v>1.6315789473684208</v>
      </c>
      <c r="B143" s="6">
        <v>1.7999999999999998</v>
      </c>
      <c r="H143" s="69">
        <v>109413.0</v>
      </c>
      <c r="N143" s="122">
        <v>1.0</v>
      </c>
      <c r="Q143" s="122">
        <v>0.020349764908622853</v>
      </c>
      <c r="V143" s="69">
        <v>0.0</v>
      </c>
      <c r="X143" s="121">
        <f>IFERROR(__xludf.DUMMYFUNCTION("""COMPUTED_VALUE"""),4154770.0)</f>
        <v>4154770</v>
      </c>
    </row>
    <row r="144">
      <c r="A144" s="6">
        <v>3.0350877192982453</v>
      </c>
      <c r="B144" s="6">
        <v>2.8</v>
      </c>
      <c r="H144" s="69">
        <v>199139.0</v>
      </c>
      <c r="N144" s="122">
        <v>0.023199933714475103</v>
      </c>
      <c r="Q144" s="122">
        <v>0.09225197283184798</v>
      </c>
      <c r="V144" s="69">
        <v>36207.0</v>
      </c>
      <c r="X144" s="121">
        <f>IFERROR(__xludf.DUMMYFUNCTION("""COMPUTED_VALUE"""),1235000.0)</f>
        <v>1235000</v>
      </c>
    </row>
    <row r="145">
      <c r="A145" s="6">
        <v>2.192982456140351</v>
      </c>
      <c r="B145" s="6">
        <v>2.2</v>
      </c>
      <c r="H145" s="69">
        <v>12142.0</v>
      </c>
      <c r="N145" s="122">
        <v>0.017365366614664587</v>
      </c>
      <c r="Q145" s="122">
        <v>0.0546065682168834</v>
      </c>
      <c r="V145" s="69">
        <v>1602500.0</v>
      </c>
      <c r="X145" s="121">
        <f>IFERROR(__xludf.DUMMYFUNCTION("""COMPUTED_VALUE"""),737283.0)</f>
        <v>737283</v>
      </c>
    </row>
    <row r="146">
      <c r="A146" s="6">
        <v>1.9122807017543857</v>
      </c>
      <c r="B146" s="6">
        <v>2.0</v>
      </c>
      <c r="H146" s="69">
        <v>0.0</v>
      </c>
      <c r="N146" s="122">
        <v>4.0584415584415587E-4</v>
      </c>
      <c r="Q146" s="122">
        <v>0.6216</v>
      </c>
      <c r="V146" s="69">
        <v>98560.0</v>
      </c>
      <c r="X146" s="121">
        <f>IFERROR(__xludf.DUMMYFUNCTION("""COMPUTED_VALUE"""),118736.0)</f>
        <v>118736</v>
      </c>
    </row>
    <row r="147">
      <c r="A147" s="6">
        <v>2.8245614035087714</v>
      </c>
      <c r="B147" s="6">
        <v>2.65</v>
      </c>
      <c r="H147" s="69">
        <v>0.0</v>
      </c>
      <c r="N147" s="122">
        <v>1.0</v>
      </c>
      <c r="Q147" s="122">
        <v>0.0013546770601336304</v>
      </c>
      <c r="V147" s="69">
        <v>50000.0</v>
      </c>
      <c r="X147" s="121">
        <f>IFERROR(__xludf.DUMMYFUNCTION("""COMPUTED_VALUE"""),140294.0)</f>
        <v>140294</v>
      </c>
    </row>
    <row r="148">
      <c r="A148" s="6">
        <v>3.456140350877192</v>
      </c>
      <c r="B148" s="6">
        <v>3.0999999999999996</v>
      </c>
      <c r="H148" s="69">
        <v>0.0</v>
      </c>
      <c r="N148" s="122">
        <v>0.016661838224916244</v>
      </c>
      <c r="Q148" s="122">
        <v>0.03627180860289467</v>
      </c>
      <c r="V148" s="69">
        <v>134619.0</v>
      </c>
      <c r="X148" s="121">
        <f>IFERROR(__xludf.DUMMYFUNCTION("""COMPUTED_VALUE"""),30099.0)</f>
        <v>30099</v>
      </c>
    </row>
    <row r="149">
      <c r="A149" s="6">
        <v>2.8245614035087714</v>
      </c>
      <c r="B149" s="6">
        <v>2.65</v>
      </c>
      <c r="H149" s="69">
        <v>258659.0</v>
      </c>
      <c r="N149" s="122">
        <v>0.010170212765957446</v>
      </c>
      <c r="Q149" s="122">
        <v>0.04446666666666667</v>
      </c>
      <c r="V149" s="69">
        <v>235000.0</v>
      </c>
      <c r="X149" s="121">
        <f>IFERROR(__xludf.DUMMYFUNCTION("""COMPUTED_VALUE"""),5870.0)</f>
        <v>5870</v>
      </c>
    </row>
    <row r="150">
      <c r="A150" s="6">
        <v>2.192982456140351</v>
      </c>
      <c r="B150" s="6">
        <v>2.2</v>
      </c>
      <c r="H150" s="69">
        <v>4717684.0</v>
      </c>
      <c r="N150" s="122">
        <v>0.009274444444444445</v>
      </c>
      <c r="Q150" s="122">
        <v>0.010744421085241467</v>
      </c>
      <c r="V150" s="69">
        <v>1800000.0</v>
      </c>
      <c r="X150" s="121">
        <f>IFERROR(__xludf.DUMMYFUNCTION("""COMPUTED_VALUE"""),353664.0)</f>
        <v>353664</v>
      </c>
    </row>
    <row r="151">
      <c r="A151" s="6">
        <v>3.385964912280702</v>
      </c>
      <c r="B151" s="6">
        <v>3.0500000000000003</v>
      </c>
      <c r="H151" s="69">
        <v>313961.0</v>
      </c>
      <c r="N151" s="122">
        <v>0.013458337054033879</v>
      </c>
      <c r="Q151" s="122">
        <v>0.016923076923076923</v>
      </c>
      <c r="V151" s="69">
        <v>4513039.0</v>
      </c>
      <c r="X151" s="121">
        <f>IFERROR(__xludf.DUMMYFUNCTION("""COMPUTED_VALUE"""),2.1865751E7)</f>
        <v>21865751</v>
      </c>
    </row>
    <row r="152">
      <c r="A152" s="6">
        <v>3.7368421052631575</v>
      </c>
      <c r="B152" s="6">
        <v>3.3</v>
      </c>
      <c r="H152" s="69">
        <v>234.0</v>
      </c>
      <c r="N152" s="122">
        <v>0.02076680405308346</v>
      </c>
      <c r="Q152" s="122">
        <v>0.01896</v>
      </c>
      <c r="V152" s="69">
        <v>723992.0</v>
      </c>
      <c r="X152" s="121">
        <f>IFERROR(__xludf.DUMMYFUNCTION("""COMPUTED_VALUE"""),60000.0)</f>
        <v>60000</v>
      </c>
    </row>
    <row r="153">
      <c r="A153" s="6">
        <v>3.596491228070175</v>
      </c>
      <c r="B153" s="6">
        <v>3.1999999999999997</v>
      </c>
      <c r="H153" s="69">
        <v>0.0</v>
      </c>
      <c r="N153" s="122">
        <v>1.0</v>
      </c>
      <c r="Q153" s="122">
        <v>0.027492255889014314</v>
      </c>
      <c r="V153" s="69">
        <v>0.0</v>
      </c>
    </row>
    <row r="154">
      <c r="A154" s="6">
        <v>4.017543859649122</v>
      </c>
      <c r="B154" s="6">
        <v>3.5</v>
      </c>
      <c r="H154" s="69">
        <v>334811.0</v>
      </c>
      <c r="N154" s="122">
        <v>0.08148529411764706</v>
      </c>
      <c r="Q154" s="122">
        <v>0.0718093023255814</v>
      </c>
      <c r="V154" s="69">
        <v>136000.0</v>
      </c>
    </row>
    <row r="155">
      <c r="A155" s="6">
        <v>2.8245614035087714</v>
      </c>
      <c r="B155" s="6">
        <v>2.65</v>
      </c>
      <c r="H155" s="69">
        <v>0.0</v>
      </c>
      <c r="N155" s="122">
        <v>0.031140528780559756</v>
      </c>
      <c r="Q155" s="122">
        <v>0.01601943319838057</v>
      </c>
      <c r="V155" s="69">
        <v>54238.0</v>
      </c>
    </row>
    <row r="156">
      <c r="A156" s="6">
        <v>2.8245614035087714</v>
      </c>
      <c r="B156" s="6">
        <v>2.65</v>
      </c>
      <c r="H156" s="69">
        <v>1565135.0</v>
      </c>
      <c r="N156" s="122">
        <v>0.0604</v>
      </c>
      <c r="Q156" s="122">
        <v>0.005135070251178991</v>
      </c>
      <c r="V156" s="69">
        <v>565000.0</v>
      </c>
    </row>
    <row r="157">
      <c r="A157" s="6">
        <v>2.8245614035087714</v>
      </c>
      <c r="B157" s="6">
        <v>2.65</v>
      </c>
      <c r="H157" s="69">
        <v>635.0</v>
      </c>
      <c r="N157" s="122">
        <v>0.038349194384245736</v>
      </c>
      <c r="Q157" s="122">
        <v>0.020027624309392266</v>
      </c>
      <c r="V157" s="69">
        <v>10613.0</v>
      </c>
    </row>
    <row r="158">
      <c r="A158" s="6">
        <v>4.228070175438596</v>
      </c>
      <c r="B158" s="6">
        <v>3.65</v>
      </c>
      <c r="H158" s="69">
        <v>781010.0</v>
      </c>
      <c r="N158" s="122">
        <v>1.0</v>
      </c>
      <c r="Q158" s="122">
        <v>0.03382895918571001</v>
      </c>
      <c r="V158" s="69">
        <v>0.0</v>
      </c>
    </row>
    <row r="159">
      <c r="A159" s="6">
        <v>3.0350877192982453</v>
      </c>
      <c r="B159" s="6">
        <v>2.8</v>
      </c>
      <c r="H159" s="69">
        <v>2173483.0</v>
      </c>
      <c r="N159" s="122">
        <v>0.9187775308044637</v>
      </c>
      <c r="Q159" s="122">
        <v>0.0077743446626133755</v>
      </c>
      <c r="V159" s="69">
        <v>615901.0</v>
      </c>
    </row>
    <row r="160">
      <c r="A160" s="6">
        <v>3.0350877192982453</v>
      </c>
      <c r="B160" s="6">
        <v>2.8</v>
      </c>
      <c r="H160" s="69">
        <v>65185.0</v>
      </c>
      <c r="N160" s="122">
        <v>0.04032261024486461</v>
      </c>
      <c r="Q160" s="122">
        <v>0.20340715502555368</v>
      </c>
      <c r="V160" s="69">
        <v>1362263.0</v>
      </c>
    </row>
    <row r="161">
      <c r="A161" s="6">
        <v>2.192982456140351</v>
      </c>
      <c r="B161" s="6">
        <v>2.2</v>
      </c>
      <c r="H161" s="69">
        <v>0.0</v>
      </c>
      <c r="N161" s="122">
        <v>1.0</v>
      </c>
      <c r="Q161" s="122">
        <v>0.017335663228374956</v>
      </c>
      <c r="V161" s="69">
        <v>0.0</v>
      </c>
    </row>
    <row r="162">
      <c r="A162" s="6">
        <v>3.0350877192982453</v>
      </c>
      <c r="B162" s="6">
        <v>2.8</v>
      </c>
      <c r="H162" s="69">
        <v>0.0</v>
      </c>
      <c r="N162" s="122">
        <v>1.0</v>
      </c>
      <c r="Q162" s="122">
        <v>0.0036194503449710007</v>
      </c>
      <c r="V162" s="69">
        <v>0.0</v>
      </c>
    </row>
    <row r="163">
      <c r="A163" s="6">
        <v>3.5964912280701755</v>
      </c>
      <c r="B163" s="6">
        <v>3.2</v>
      </c>
      <c r="H163" s="69">
        <v>0.0</v>
      </c>
      <c r="N163" s="122">
        <v>1.0</v>
      </c>
      <c r="Q163" s="122">
        <v>0.0918</v>
      </c>
      <c r="V163" s="69">
        <v>0.0</v>
      </c>
    </row>
    <row r="164">
      <c r="A164" s="6">
        <v>3.456140350877192</v>
      </c>
      <c r="B164" s="6">
        <v>3.0999999999999996</v>
      </c>
      <c r="H164" s="69">
        <v>0.0</v>
      </c>
      <c r="N164" s="122">
        <v>0.06392583333333333</v>
      </c>
      <c r="V164" s="69">
        <v>1200000.0</v>
      </c>
    </row>
    <row r="165">
      <c r="A165" s="6">
        <v>2.614035087719298</v>
      </c>
      <c r="B165" s="6">
        <v>2.5</v>
      </c>
      <c r="H165" s="69">
        <v>0.0</v>
      </c>
      <c r="N165" s="122">
        <v>1.0</v>
      </c>
      <c r="V165" s="69">
        <v>0.0</v>
      </c>
    </row>
    <row r="166">
      <c r="A166" s="6">
        <v>2.614035087719298</v>
      </c>
      <c r="B166" s="6">
        <v>2.5</v>
      </c>
      <c r="H166" s="69">
        <v>0.0</v>
      </c>
      <c r="N166" s="122">
        <v>0.0015574680732926153</v>
      </c>
      <c r="V166" s="69">
        <v>360200.0</v>
      </c>
    </row>
    <row r="167">
      <c r="A167" s="6">
        <v>3.245614035087719</v>
      </c>
      <c r="B167" s="6">
        <v>2.95</v>
      </c>
      <c r="H167" s="69">
        <v>0.0</v>
      </c>
      <c r="N167" s="122">
        <v>0.023406066086375053</v>
      </c>
      <c r="V167" s="69">
        <v>526402.0</v>
      </c>
    </row>
    <row r="168">
      <c r="A168" s="6">
        <v>2.4035087719298245</v>
      </c>
      <c r="B168" s="6">
        <v>2.35</v>
      </c>
      <c r="H168" s="69">
        <v>749509.0</v>
      </c>
      <c r="N168" s="122">
        <v>0.0705412164172818</v>
      </c>
      <c r="V168" s="69">
        <v>2006203.0</v>
      </c>
    </row>
    <row r="169">
      <c r="A169" s="6">
        <v>3.0350877192982453</v>
      </c>
      <c r="B169" s="6">
        <v>2.8</v>
      </c>
      <c r="H169" s="69">
        <v>98314.0</v>
      </c>
      <c r="N169" s="122">
        <v>1.0</v>
      </c>
      <c r="V169" s="69">
        <v>0.0</v>
      </c>
    </row>
    <row r="170">
      <c r="A170" s="6">
        <v>3.1754385964912277</v>
      </c>
      <c r="B170" s="6">
        <v>2.9</v>
      </c>
      <c r="H170" s="69">
        <v>276616.0</v>
      </c>
      <c r="N170" s="122">
        <v>0.01617146665731224</v>
      </c>
      <c r="V170" s="69">
        <v>114028.0</v>
      </c>
    </row>
    <row r="171">
      <c r="A171" s="6">
        <v>2.614035087719298</v>
      </c>
      <c r="B171" s="6">
        <v>2.5</v>
      </c>
      <c r="H171" s="69">
        <v>1893.0</v>
      </c>
      <c r="N171" s="122">
        <v>1.0</v>
      </c>
      <c r="V171" s="69">
        <v>0.0</v>
      </c>
    </row>
    <row r="172">
      <c r="A172" s="6">
        <v>1.9824561403508767</v>
      </c>
      <c r="B172" s="6">
        <v>2.05</v>
      </c>
      <c r="H172" s="69">
        <v>1710.0</v>
      </c>
      <c r="N172" s="122">
        <v>0.08208176050116457</v>
      </c>
      <c r="V172" s="69">
        <v>24902.0</v>
      </c>
    </row>
    <row r="173">
      <c r="A173" s="6">
        <v>3.0350877192982453</v>
      </c>
      <c r="B173" s="6">
        <v>2.8</v>
      </c>
      <c r="H173" s="69">
        <v>1430801.0</v>
      </c>
      <c r="N173" s="122">
        <v>1.0</v>
      </c>
      <c r="V173" s="69">
        <v>0.0</v>
      </c>
    </row>
    <row r="174">
      <c r="A174" s="6">
        <v>2.4035087719298245</v>
      </c>
      <c r="B174" s="6">
        <v>2.35</v>
      </c>
      <c r="H174" s="69">
        <v>75515.0</v>
      </c>
      <c r="N174" s="122">
        <v>0.0030847985330493665</v>
      </c>
      <c r="V174" s="69">
        <v>104707.0</v>
      </c>
    </row>
    <row r="175">
      <c r="A175" s="6">
        <v>2.614035087719298</v>
      </c>
      <c r="B175" s="6">
        <v>2.5</v>
      </c>
      <c r="H175" s="69">
        <v>0.0</v>
      </c>
      <c r="N175" s="122">
        <v>1.0</v>
      </c>
      <c r="V175" s="69">
        <v>0.0</v>
      </c>
    </row>
    <row r="176">
      <c r="A176" s="6">
        <v>3.456140350877192</v>
      </c>
      <c r="B176" s="6">
        <v>3.0999999999999996</v>
      </c>
      <c r="H176" s="69">
        <v>1201406.0</v>
      </c>
      <c r="N176" s="122">
        <v>1.0</v>
      </c>
      <c r="V176" s="69">
        <v>0.0</v>
      </c>
    </row>
    <row r="177">
      <c r="A177" s="6">
        <v>3.0350877192982453</v>
      </c>
      <c r="B177" s="6">
        <v>2.8</v>
      </c>
      <c r="H177" s="69">
        <v>2089477.0</v>
      </c>
      <c r="N177" s="122">
        <v>0.04250430622009569</v>
      </c>
      <c r="V177" s="69">
        <v>1045000.0</v>
      </c>
    </row>
    <row r="178">
      <c r="A178" s="6">
        <v>3.0350877192982453</v>
      </c>
      <c r="B178" s="6">
        <v>2.8</v>
      </c>
      <c r="H178" s="69">
        <v>1349052.0</v>
      </c>
      <c r="N178" s="122">
        <v>0.025919365869912142</v>
      </c>
      <c r="V178" s="69">
        <v>570230.0</v>
      </c>
    </row>
    <row r="179">
      <c r="A179" s="6">
        <v>3.0350877192982453</v>
      </c>
      <c r="B179" s="6">
        <v>2.8</v>
      </c>
      <c r="H179" s="69">
        <v>0.0</v>
      </c>
      <c r="N179" s="122">
        <v>1.0</v>
      </c>
      <c r="V179" s="69">
        <v>0.0</v>
      </c>
    </row>
    <row r="180">
      <c r="A180" s="6">
        <v>2.8245614035087714</v>
      </c>
      <c r="B180" s="6">
        <v>2.65</v>
      </c>
      <c r="H180" s="69">
        <v>300.0</v>
      </c>
      <c r="N180" s="122">
        <v>0.06178299045055438</v>
      </c>
      <c r="V180" s="69">
        <v>93618.0</v>
      </c>
    </row>
    <row r="181">
      <c r="A181" s="6">
        <v>3.807017543859649</v>
      </c>
      <c r="B181" s="6">
        <v>3.35</v>
      </c>
      <c r="H181" s="69">
        <v>2332.0</v>
      </c>
      <c r="N181" s="122">
        <v>0.08663920652056192</v>
      </c>
      <c r="V181" s="69">
        <v>286233.0</v>
      </c>
    </row>
    <row r="182">
      <c r="A182" s="6">
        <v>2.614035087719298</v>
      </c>
      <c r="B182" s="6">
        <v>2.5</v>
      </c>
      <c r="H182" s="69">
        <v>927143.0</v>
      </c>
      <c r="N182" s="122">
        <v>0.005178788441242259</v>
      </c>
      <c r="V182" s="69">
        <v>1476214.0</v>
      </c>
    </row>
    <row r="183">
      <c r="A183" s="6">
        <v>2.614035087719298</v>
      </c>
      <c r="B183" s="6">
        <v>2.5</v>
      </c>
      <c r="H183" s="69">
        <v>0.0</v>
      </c>
      <c r="N183" s="122">
        <v>1.0</v>
      </c>
      <c r="V183" s="69">
        <v>0.0</v>
      </c>
    </row>
    <row r="184">
      <c r="A184" s="6">
        <v>3.1754385964912277</v>
      </c>
      <c r="B184" s="6">
        <v>2.9</v>
      </c>
      <c r="H184" s="69">
        <v>0.0</v>
      </c>
      <c r="N184" s="122">
        <v>0.0025849982015124073</v>
      </c>
      <c r="V184" s="69">
        <v>953579.0</v>
      </c>
    </row>
    <row r="185">
      <c r="A185" s="6">
        <v>2.192982456140351</v>
      </c>
      <c r="B185" s="6">
        <v>2.2</v>
      </c>
      <c r="H185" s="69">
        <v>0.0</v>
      </c>
      <c r="N185" s="122">
        <v>0.0833</v>
      </c>
      <c r="V185" s="69">
        <v>10000.0</v>
      </c>
    </row>
    <row r="186">
      <c r="A186" s="6">
        <v>3.456140350877192</v>
      </c>
      <c r="B186" s="6">
        <v>3.0999999999999996</v>
      </c>
      <c r="H186" s="69">
        <v>0.0</v>
      </c>
      <c r="N186" s="122">
        <v>1.0</v>
      </c>
      <c r="V186" s="69">
        <v>87700.0</v>
      </c>
    </row>
    <row r="187">
      <c r="A187" s="6">
        <v>3.0350877192982453</v>
      </c>
      <c r="B187" s="6">
        <v>2.8</v>
      </c>
      <c r="H187" s="69">
        <v>17130.0</v>
      </c>
      <c r="N187" s="122">
        <v>0.025793462062842828</v>
      </c>
      <c r="V187" s="69">
        <v>63078.0</v>
      </c>
    </row>
    <row r="188">
      <c r="A188" s="6">
        <v>2.192982456140351</v>
      </c>
      <c r="B188" s="6">
        <v>2.2</v>
      </c>
      <c r="H188" s="69">
        <v>1057318.0</v>
      </c>
      <c r="N188" s="122">
        <v>1.0</v>
      </c>
      <c r="V188" s="69">
        <v>0.0</v>
      </c>
    </row>
    <row r="189">
      <c r="A189" s="6">
        <v>3.807017543859649</v>
      </c>
      <c r="B189" s="6">
        <v>3.35</v>
      </c>
      <c r="H189" s="69">
        <v>0.0</v>
      </c>
      <c r="N189" s="122">
        <v>0.05868</v>
      </c>
      <c r="V189" s="69">
        <v>50000.0</v>
      </c>
    </row>
    <row r="190">
      <c r="A190" s="6">
        <v>2.614035087719298</v>
      </c>
      <c r="B190" s="6">
        <v>2.5</v>
      </c>
      <c r="H190" s="69">
        <v>105758.0</v>
      </c>
      <c r="N190" s="122">
        <v>0.0032966666666666665</v>
      </c>
      <c r="V190" s="69">
        <v>600000.0</v>
      </c>
    </row>
    <row r="191">
      <c r="A191" s="6">
        <v>3.1052631578947367</v>
      </c>
      <c r="B191" s="6">
        <v>2.85</v>
      </c>
      <c r="H191" s="69">
        <v>11877.0</v>
      </c>
      <c r="N191" s="122">
        <v>0.028722073429773228</v>
      </c>
      <c r="V191" s="69">
        <v>238214.0</v>
      </c>
    </row>
    <row r="192">
      <c r="A192" s="6">
        <v>2.8245614035087714</v>
      </c>
      <c r="B192" s="6">
        <v>2.65</v>
      </c>
      <c r="H192" s="69">
        <v>0.0</v>
      </c>
      <c r="N192" s="122">
        <v>0.04799776206641932</v>
      </c>
      <c r="V192" s="69">
        <v>6595370.0</v>
      </c>
    </row>
    <row r="193">
      <c r="A193" s="6">
        <v>1.4210526315789471</v>
      </c>
      <c r="B193" s="6">
        <v>1.65</v>
      </c>
      <c r="H193" s="69">
        <v>0.0</v>
      </c>
      <c r="N193" s="122">
        <v>0.02455321606192173</v>
      </c>
      <c r="V193" s="69">
        <v>6991019.0</v>
      </c>
    </row>
    <row r="194">
      <c r="A194" s="6">
        <v>2.192982456140351</v>
      </c>
      <c r="B194" s="6">
        <v>2.2</v>
      </c>
      <c r="H194" s="69">
        <v>321616.0</v>
      </c>
      <c r="N194" s="122">
        <v>0.015879310344827587</v>
      </c>
      <c r="V194" s="69">
        <v>870000.0</v>
      </c>
    </row>
    <row r="195">
      <c r="A195" s="6">
        <v>2.8245614035087714</v>
      </c>
      <c r="B195" s="6">
        <v>2.65</v>
      </c>
      <c r="H195" s="69">
        <v>75633.0</v>
      </c>
      <c r="N195" s="122">
        <v>0.02015333153269203</v>
      </c>
      <c r="V195" s="69">
        <v>240655.0</v>
      </c>
    </row>
    <row r="196">
      <c r="A196" s="6">
        <v>2.192982456140351</v>
      </c>
      <c r="B196" s="6">
        <v>2.2</v>
      </c>
      <c r="H196" s="69">
        <v>300244.0</v>
      </c>
      <c r="N196" s="122">
        <v>0.012363976233393418</v>
      </c>
      <c r="V196" s="69">
        <v>224685.0</v>
      </c>
    </row>
    <row r="197">
      <c r="A197" s="6">
        <v>3.245614035087719</v>
      </c>
      <c r="B197" s="6">
        <v>2.95</v>
      </c>
      <c r="H197" s="69">
        <v>130000.0</v>
      </c>
      <c r="N197" s="122">
        <v>0.029110945465078135</v>
      </c>
      <c r="V197" s="69">
        <v>2396006.0</v>
      </c>
    </row>
    <row r="198">
      <c r="A198" s="6">
        <v>2.192982456140351</v>
      </c>
      <c r="B198" s="6">
        <v>2.2</v>
      </c>
      <c r="H198" s="69">
        <v>127134.0</v>
      </c>
      <c r="N198" s="122">
        <v>0.024386945546339703</v>
      </c>
      <c r="V198" s="69">
        <v>288392.0</v>
      </c>
    </row>
    <row r="199">
      <c r="A199" s="6">
        <v>2.8245614035087714</v>
      </c>
      <c r="B199" s="6">
        <v>2.65</v>
      </c>
      <c r="H199" s="69">
        <v>53553.0</v>
      </c>
      <c r="N199" s="122">
        <v>0.01431945882062739</v>
      </c>
      <c r="V199" s="69">
        <v>1921581.0</v>
      </c>
    </row>
    <row r="200">
      <c r="A200" s="6">
        <v>2.614035087719298</v>
      </c>
      <c r="B200" s="6">
        <v>2.5</v>
      </c>
      <c r="H200" s="69">
        <v>356000.0</v>
      </c>
      <c r="N200" s="122">
        <v>0.014106900128197696</v>
      </c>
      <c r="V200" s="69">
        <v>1552290.0</v>
      </c>
    </row>
    <row r="201">
      <c r="A201" s="6">
        <v>3.0350877192982453</v>
      </c>
      <c r="B201" s="6">
        <v>2.8</v>
      </c>
      <c r="H201" s="69">
        <v>179360.0</v>
      </c>
      <c r="N201" s="122">
        <v>0.01343</v>
      </c>
      <c r="V201" s="69">
        <v>100000.0</v>
      </c>
    </row>
    <row r="202">
      <c r="A202" s="6">
        <v>2.614035087719298</v>
      </c>
      <c r="B202" s="6">
        <v>2.5</v>
      </c>
      <c r="H202" s="69">
        <v>594135.0</v>
      </c>
      <c r="N202" s="122">
        <v>0.03763983781997046</v>
      </c>
      <c r="V202" s="69">
        <v>329757.0</v>
      </c>
    </row>
    <row r="203">
      <c r="A203" s="6">
        <v>2.4035087719298236</v>
      </c>
      <c r="B203" s="6">
        <v>2.3499999999999996</v>
      </c>
      <c r="H203" s="69">
        <v>5882.0</v>
      </c>
      <c r="N203" s="122">
        <v>0.009831576225567976</v>
      </c>
      <c r="V203" s="69">
        <v>170166.0</v>
      </c>
    </row>
    <row r="204">
      <c r="A204" s="6">
        <v>3.0350877192982453</v>
      </c>
      <c r="B204" s="6">
        <v>2.8</v>
      </c>
      <c r="H204" s="69">
        <v>353000.0</v>
      </c>
      <c r="N204" s="122">
        <v>1.0</v>
      </c>
      <c r="V204" s="69">
        <v>0.0</v>
      </c>
    </row>
    <row r="205">
      <c r="A205" s="6">
        <v>2.614035087719298</v>
      </c>
      <c r="B205" s="6">
        <v>2.5</v>
      </c>
      <c r="H205" s="69">
        <v>0.0</v>
      </c>
      <c r="N205" s="122">
        <v>0.02735111111111111</v>
      </c>
      <c r="V205" s="69">
        <v>1800000.0</v>
      </c>
    </row>
    <row r="206">
      <c r="A206" s="6">
        <v>3.9473684210526314</v>
      </c>
      <c r="B206" s="6">
        <v>3.45</v>
      </c>
      <c r="H206" s="69">
        <v>18261.0</v>
      </c>
      <c r="N206" s="122">
        <v>0.03164154103852596</v>
      </c>
      <c r="V206" s="69">
        <v>238800.0</v>
      </c>
    </row>
    <row r="207">
      <c r="A207" s="6">
        <v>3.0350877192982453</v>
      </c>
      <c r="B207" s="6">
        <v>2.8</v>
      </c>
      <c r="H207" s="69">
        <v>161134.0</v>
      </c>
      <c r="N207" s="122">
        <v>0.009184894053315107</v>
      </c>
      <c r="V207" s="69">
        <v>234080.0</v>
      </c>
    </row>
    <row r="208">
      <c r="A208" s="6">
        <v>4.228070175438596</v>
      </c>
      <c r="B208" s="6">
        <v>3.65</v>
      </c>
      <c r="H208" s="69">
        <v>50895.0</v>
      </c>
      <c r="N208" s="122">
        <v>0.031583670169765564</v>
      </c>
      <c r="V208" s="69">
        <v>3711000.0</v>
      </c>
    </row>
    <row r="209">
      <c r="A209" s="6">
        <v>3.31578947368421</v>
      </c>
      <c r="B209" s="6">
        <v>3.0</v>
      </c>
      <c r="H209" s="69">
        <v>48383.0</v>
      </c>
      <c r="N209" s="122">
        <v>0.035211428571428574</v>
      </c>
      <c r="V209" s="69">
        <v>700000.0</v>
      </c>
    </row>
    <row r="210">
      <c r="A210" s="6">
        <v>3.456140350877192</v>
      </c>
      <c r="B210" s="6">
        <v>3.0999999999999996</v>
      </c>
      <c r="H210" s="69">
        <v>0.0</v>
      </c>
      <c r="N210" s="122">
        <v>0.018813023255813955</v>
      </c>
      <c r="V210" s="69">
        <v>537500.0</v>
      </c>
    </row>
    <row r="211">
      <c r="A211" s="6">
        <v>2.614035087719298</v>
      </c>
      <c r="B211" s="6">
        <v>2.5</v>
      </c>
      <c r="H211" s="69">
        <v>0.0</v>
      </c>
      <c r="N211" s="122">
        <v>1.0</v>
      </c>
      <c r="V211" s="69">
        <v>0.0</v>
      </c>
    </row>
    <row r="212">
      <c r="A212" s="6">
        <v>3.7368421052631575</v>
      </c>
      <c r="B212" s="6">
        <v>3.3</v>
      </c>
      <c r="H212" s="69">
        <v>0.0</v>
      </c>
      <c r="N212" s="122">
        <v>0.8409090909090909</v>
      </c>
      <c r="V212" s="69">
        <v>11000.0</v>
      </c>
    </row>
    <row r="213">
      <c r="A213" s="6">
        <v>3.1052631578947367</v>
      </c>
      <c r="B213" s="6">
        <v>2.85</v>
      </c>
      <c r="H213" s="69">
        <v>57694.0</v>
      </c>
      <c r="N213" s="122">
        <v>0.07398765432098765</v>
      </c>
      <c r="V213" s="69">
        <v>81000.0</v>
      </c>
    </row>
    <row r="214">
      <c r="A214" s="6">
        <v>2.8245614035087714</v>
      </c>
      <c r="B214" s="6">
        <v>2.65</v>
      </c>
      <c r="H214" s="69">
        <v>70379.0</v>
      </c>
      <c r="N214" s="122">
        <v>1.0</v>
      </c>
      <c r="V214" s="69">
        <v>0.0</v>
      </c>
    </row>
    <row r="215">
      <c r="A215" s="6">
        <v>1.9824561403508767</v>
      </c>
      <c r="B215" s="6">
        <v>2.05</v>
      </c>
      <c r="H215" s="69">
        <v>279257.0</v>
      </c>
      <c r="N215" s="122">
        <v>0.07546421832136117</v>
      </c>
      <c r="V215" s="69">
        <v>63063.0</v>
      </c>
    </row>
    <row r="216">
      <c r="A216" s="6">
        <v>3.596491228070175</v>
      </c>
      <c r="B216" s="6">
        <v>3.1999999999999997</v>
      </c>
      <c r="H216" s="69">
        <v>0.0</v>
      </c>
      <c r="N216" s="122">
        <v>0.04815983504123969</v>
      </c>
      <c r="V216" s="69">
        <v>320080.0</v>
      </c>
    </row>
    <row r="217">
      <c r="A217" s="6">
        <v>2.8245614035087714</v>
      </c>
      <c r="B217" s="6">
        <v>2.65</v>
      </c>
      <c r="H217" s="69">
        <v>2904698.0</v>
      </c>
      <c r="N217" s="122">
        <v>0.020758918918918918</v>
      </c>
      <c r="V217" s="69">
        <v>925000.0</v>
      </c>
    </row>
    <row r="218">
      <c r="A218" s="6">
        <v>2.192982456140351</v>
      </c>
      <c r="B218" s="6">
        <v>2.2</v>
      </c>
      <c r="H218" s="69">
        <v>13080.0</v>
      </c>
      <c r="N218" s="122">
        <v>0.03021024086137712</v>
      </c>
      <c r="V218" s="69">
        <v>99933.0</v>
      </c>
    </row>
    <row r="219">
      <c r="A219" s="6">
        <v>2.614035087719298</v>
      </c>
      <c r="B219" s="6">
        <v>2.5</v>
      </c>
      <c r="H219" s="69">
        <v>19793.0</v>
      </c>
      <c r="N219" s="122">
        <v>0.17987322453489135</v>
      </c>
      <c r="V219" s="69">
        <v>106803.0</v>
      </c>
    </row>
    <row r="220">
      <c r="A220" s="6">
        <v>2.614035087719298</v>
      </c>
      <c r="B220" s="6">
        <v>2.5</v>
      </c>
      <c r="H220" s="69">
        <v>0.0</v>
      </c>
      <c r="N220" s="122">
        <v>1.0</v>
      </c>
      <c r="V220" s="69">
        <v>0.0</v>
      </c>
    </row>
    <row r="221">
      <c r="A221" s="6">
        <v>2.192982456140351</v>
      </c>
      <c r="B221" s="6">
        <v>2.2</v>
      </c>
      <c r="H221" s="69">
        <v>18031.0</v>
      </c>
      <c r="N221" s="122">
        <v>0.08675455191777025</v>
      </c>
      <c r="V221" s="69">
        <v>165974.0</v>
      </c>
    </row>
    <row r="222">
      <c r="A222" s="6">
        <v>3.0350877192982453</v>
      </c>
      <c r="B222" s="6">
        <v>2.8</v>
      </c>
      <c r="H222" s="69">
        <v>26014.0</v>
      </c>
      <c r="N222" s="122">
        <v>0.07350113822672533</v>
      </c>
      <c r="V222" s="69">
        <v>339124.0</v>
      </c>
    </row>
    <row r="223">
      <c r="A223" s="6">
        <v>3.596491228070175</v>
      </c>
      <c r="B223" s="6">
        <v>3.1999999999999997</v>
      </c>
      <c r="H223" s="69">
        <v>47110.0</v>
      </c>
      <c r="N223" s="122">
        <v>0.023847822962085794</v>
      </c>
      <c r="V223" s="69">
        <v>292186.0</v>
      </c>
    </row>
    <row r="224">
      <c r="A224" s="6">
        <v>3.385964912280702</v>
      </c>
      <c r="B224" s="6">
        <v>3.0500000000000003</v>
      </c>
      <c r="H224" s="69">
        <v>70607.0</v>
      </c>
      <c r="N224" s="122">
        <v>1.0</v>
      </c>
      <c r="V224" s="69">
        <v>0.0</v>
      </c>
    </row>
    <row r="225">
      <c r="A225" s="6">
        <v>4.228070175438596</v>
      </c>
      <c r="B225" s="6">
        <v>3.65</v>
      </c>
      <c r="H225" s="69">
        <v>6624934.0</v>
      </c>
      <c r="N225" s="122">
        <v>0.018770508054522926</v>
      </c>
      <c r="V225" s="69">
        <v>4035000.0</v>
      </c>
    </row>
    <row r="226">
      <c r="A226" s="6">
        <v>2.4035087719298245</v>
      </c>
      <c r="B226" s="6">
        <v>2.35</v>
      </c>
      <c r="H226" s="69">
        <v>33600.0</v>
      </c>
      <c r="N226" s="122">
        <v>0.01425605999158019</v>
      </c>
      <c r="V226" s="69">
        <v>5831485.0</v>
      </c>
    </row>
    <row r="227">
      <c r="A227" s="6">
        <v>3.1754385964912277</v>
      </c>
      <c r="B227" s="6">
        <v>2.9</v>
      </c>
      <c r="H227" s="69">
        <v>2400.0</v>
      </c>
      <c r="N227" s="122">
        <v>0.013514914797276277</v>
      </c>
      <c r="V227" s="69">
        <v>86793.0</v>
      </c>
    </row>
    <row r="228">
      <c r="A228" s="6">
        <v>1.6315789473684208</v>
      </c>
      <c r="B228" s="6">
        <v>1.7999999999999998</v>
      </c>
      <c r="H228" s="69">
        <v>0.0</v>
      </c>
      <c r="N228" s="122">
        <v>0.09373355936166482</v>
      </c>
      <c r="V228" s="69">
        <v>68428.0</v>
      </c>
    </row>
    <row r="229">
      <c r="A229" s="6">
        <v>3.526315789473684</v>
      </c>
      <c r="B229" s="6">
        <v>3.15</v>
      </c>
      <c r="H229" s="69">
        <v>350719.0</v>
      </c>
      <c r="N229" s="122">
        <v>0.0055823210572130775</v>
      </c>
      <c r="V229" s="69">
        <v>481341.0</v>
      </c>
    </row>
    <row r="230">
      <c r="A230" s="6">
        <v>3.385964912280702</v>
      </c>
      <c r="B230" s="6">
        <v>3.0500000000000003</v>
      </c>
      <c r="H230" s="69">
        <v>337.0</v>
      </c>
      <c r="N230" s="122">
        <v>0.051873333333333334</v>
      </c>
      <c r="V230" s="69">
        <v>300000.0</v>
      </c>
    </row>
    <row r="231">
      <c r="A231" s="6">
        <v>2.614035087719298</v>
      </c>
      <c r="B231" s="6">
        <v>2.5</v>
      </c>
      <c r="H231" s="69">
        <v>0.0</v>
      </c>
      <c r="N231" s="122">
        <v>1.0</v>
      </c>
      <c r="V231" s="69">
        <v>160000.0</v>
      </c>
    </row>
    <row r="232">
      <c r="A232" s="6">
        <v>4.017543859649122</v>
      </c>
      <c r="B232" s="6">
        <v>3.5</v>
      </c>
      <c r="H232" s="69">
        <v>0.0</v>
      </c>
      <c r="N232" s="122">
        <v>0.026337142857142858</v>
      </c>
      <c r="V232" s="69">
        <v>2100000.0</v>
      </c>
    </row>
    <row r="233">
      <c r="A233" s="6">
        <v>2.614035087719298</v>
      </c>
      <c r="B233" s="6">
        <v>2.5</v>
      </c>
      <c r="H233" s="69">
        <v>0.0</v>
      </c>
      <c r="N233" s="122">
        <v>0.21380632790028764</v>
      </c>
      <c r="V233" s="69">
        <v>25032.0</v>
      </c>
    </row>
    <row r="234">
      <c r="A234" s="6">
        <v>3.7368421052631575</v>
      </c>
      <c r="B234" s="6">
        <v>3.3</v>
      </c>
      <c r="H234" s="69">
        <v>0.0</v>
      </c>
      <c r="N234" s="122">
        <v>0.020349764908622853</v>
      </c>
      <c r="V234" s="69">
        <v>1410090.0</v>
      </c>
    </row>
    <row r="235">
      <c r="A235" s="6">
        <v>3.1052631578947367</v>
      </c>
      <c r="B235" s="6">
        <v>2.85</v>
      </c>
      <c r="H235" s="69">
        <v>544360.0</v>
      </c>
      <c r="N235" s="122">
        <v>0.09225197283184798</v>
      </c>
      <c r="V235" s="69">
        <v>203768.0</v>
      </c>
    </row>
    <row r="236">
      <c r="A236" s="6">
        <v>3.0350877192982453</v>
      </c>
      <c r="B236" s="6">
        <v>2.8</v>
      </c>
      <c r="H236" s="69">
        <v>93578.0</v>
      </c>
      <c r="N236" s="122">
        <v>0.0546065682168834</v>
      </c>
      <c r="V236" s="69">
        <v>18148.0</v>
      </c>
    </row>
    <row r="237">
      <c r="A237" s="6">
        <v>3.385964912280702</v>
      </c>
      <c r="B237" s="6">
        <v>3.0500000000000003</v>
      </c>
      <c r="H237" s="69">
        <v>128989.0</v>
      </c>
      <c r="N237" s="122">
        <v>0.6216</v>
      </c>
      <c r="V237" s="69">
        <v>5000.0</v>
      </c>
    </row>
    <row r="238">
      <c r="A238" s="6">
        <v>2.192982456140351</v>
      </c>
      <c r="B238" s="6">
        <v>2.2</v>
      </c>
      <c r="H238" s="69">
        <v>2692030.0</v>
      </c>
      <c r="N238" s="122">
        <v>0.0013546770601336304</v>
      </c>
      <c r="V238" s="69">
        <v>1796000.0</v>
      </c>
    </row>
    <row r="239">
      <c r="A239" s="6">
        <v>4.017543859649122</v>
      </c>
      <c r="B239" s="6">
        <v>3.5</v>
      </c>
      <c r="H239" s="69">
        <v>0.0</v>
      </c>
      <c r="N239" s="122">
        <v>1.0</v>
      </c>
      <c r="V239" s="69">
        <v>0.0</v>
      </c>
    </row>
    <row r="240">
      <c r="A240" s="6">
        <v>2.192982456140351</v>
      </c>
      <c r="B240" s="6">
        <v>2.2</v>
      </c>
      <c r="H240" s="69">
        <v>107966.0</v>
      </c>
      <c r="N240" s="122">
        <v>0.03627180860289467</v>
      </c>
      <c r="V240" s="69">
        <v>3476667.0</v>
      </c>
    </row>
    <row r="241">
      <c r="A241" s="6">
        <v>2.614035087719298</v>
      </c>
      <c r="B241" s="6">
        <v>2.5</v>
      </c>
      <c r="H241" s="69">
        <v>0.0</v>
      </c>
      <c r="N241" s="122">
        <v>0.04446666666666667</v>
      </c>
      <c r="V241" s="69">
        <v>15000.0</v>
      </c>
    </row>
    <row r="242">
      <c r="A242" s="6">
        <v>3.9473684210526314</v>
      </c>
      <c r="B242" s="6">
        <v>3.45</v>
      </c>
      <c r="H242" s="69">
        <v>6000.0</v>
      </c>
      <c r="N242" s="122">
        <v>0.010744421085241467</v>
      </c>
      <c r="V242" s="69">
        <v>1.3815635E7</v>
      </c>
    </row>
    <row r="243">
      <c r="A243" s="6">
        <v>3.807017543859649</v>
      </c>
      <c r="B243" s="6">
        <v>3.35</v>
      </c>
      <c r="H243" s="69">
        <v>0.0</v>
      </c>
      <c r="N243" s="122">
        <v>0.016923076923076923</v>
      </c>
      <c r="V243" s="69">
        <v>1243450.0</v>
      </c>
    </row>
    <row r="244">
      <c r="A244" s="6">
        <v>1.9824561403508767</v>
      </c>
      <c r="B244" s="6">
        <v>2.05</v>
      </c>
      <c r="H244" s="69">
        <v>326909.0</v>
      </c>
      <c r="N244" s="122">
        <v>0.01896</v>
      </c>
      <c r="V244" s="69">
        <v>25000.0</v>
      </c>
    </row>
    <row r="245">
      <c r="A245" s="6">
        <v>3.8070175438596485</v>
      </c>
      <c r="B245" s="6">
        <v>3.3499999999999996</v>
      </c>
      <c r="H245" s="69">
        <v>0.0</v>
      </c>
      <c r="N245" s="122">
        <v>1.0</v>
      </c>
      <c r="V245" s="69">
        <v>0.0</v>
      </c>
    </row>
    <row r="246">
      <c r="A246" s="6">
        <v>2.1228070175438596</v>
      </c>
      <c r="B246" s="6">
        <v>2.15</v>
      </c>
      <c r="H246" s="69">
        <v>1580699.0</v>
      </c>
      <c r="N246" s="122">
        <v>0.027492255889014314</v>
      </c>
      <c r="V246" s="69">
        <v>4154770.0</v>
      </c>
    </row>
    <row r="247">
      <c r="A247" s="6">
        <v>2.8245614035087714</v>
      </c>
      <c r="B247" s="6">
        <v>2.65</v>
      </c>
      <c r="H247" s="69">
        <v>45755.0</v>
      </c>
      <c r="N247" s="122">
        <v>0.0718093023255814</v>
      </c>
      <c r="V247" s="69">
        <v>215000.0</v>
      </c>
    </row>
    <row r="248">
      <c r="A248" s="6">
        <v>1.9824561403508767</v>
      </c>
      <c r="B248" s="6">
        <v>2.05</v>
      </c>
      <c r="H248" s="69">
        <v>0.0</v>
      </c>
      <c r="N248" s="122">
        <v>1.0</v>
      </c>
      <c r="V248" s="69">
        <v>0.0</v>
      </c>
    </row>
    <row r="249">
      <c r="A249" s="6">
        <v>3.0350877192982453</v>
      </c>
      <c r="B249" s="6">
        <v>2.8</v>
      </c>
      <c r="H249" s="69">
        <v>20273.0</v>
      </c>
      <c r="N249" s="122">
        <v>1.0</v>
      </c>
      <c r="V249" s="69">
        <v>0.0</v>
      </c>
    </row>
    <row r="250">
      <c r="A250" s="6">
        <v>3.0350877192982453</v>
      </c>
      <c r="B250" s="6">
        <v>2.8</v>
      </c>
      <c r="H250" s="69">
        <v>9450.0</v>
      </c>
      <c r="N250" s="122">
        <v>0.01601943319838057</v>
      </c>
      <c r="V250" s="69">
        <v>1235000.0</v>
      </c>
    </row>
    <row r="251">
      <c r="A251" s="6">
        <v>2.8245614035087714</v>
      </c>
      <c r="B251" s="6">
        <v>2.65</v>
      </c>
      <c r="H251" s="69">
        <v>549924.0</v>
      </c>
      <c r="N251" s="122">
        <v>0.005135070251178991</v>
      </c>
      <c r="V251" s="69">
        <v>737283.0</v>
      </c>
    </row>
    <row r="252">
      <c r="A252" s="6">
        <v>3.1754385964912277</v>
      </c>
      <c r="B252" s="6">
        <v>2.9</v>
      </c>
      <c r="H252" s="69">
        <v>413527.0</v>
      </c>
      <c r="N252" s="122">
        <v>0.020027624309392266</v>
      </c>
      <c r="V252" s="69">
        <v>118736.0</v>
      </c>
    </row>
    <row r="253">
      <c r="A253" s="6">
        <v>3.1754385964912277</v>
      </c>
      <c r="B253" s="6">
        <v>2.9</v>
      </c>
      <c r="H253" s="69">
        <v>129750.0</v>
      </c>
      <c r="N253" s="122">
        <v>0.03382895918571001</v>
      </c>
      <c r="V253" s="69">
        <v>140294.0</v>
      </c>
    </row>
    <row r="254">
      <c r="A254" s="6">
        <v>2.192982456140351</v>
      </c>
      <c r="B254" s="6">
        <v>2.2</v>
      </c>
      <c r="H254" s="69">
        <v>287969.0</v>
      </c>
      <c r="N254" s="122">
        <v>1.0</v>
      </c>
      <c r="V254" s="69">
        <v>0.0</v>
      </c>
    </row>
    <row r="255">
      <c r="A255" s="6">
        <v>1.6315789473684208</v>
      </c>
      <c r="B255" s="6">
        <v>1.7999999999999998</v>
      </c>
      <c r="H255" s="69">
        <v>48597.0</v>
      </c>
      <c r="N255" s="122">
        <v>0.0077743446626133755</v>
      </c>
      <c r="V255" s="69">
        <v>30099.0</v>
      </c>
    </row>
    <row r="256">
      <c r="A256" s="6">
        <v>5.0</v>
      </c>
      <c r="B256" s="6">
        <v>4.2</v>
      </c>
      <c r="H256" s="69">
        <v>2646599.0</v>
      </c>
      <c r="N256" s="122">
        <v>1.0</v>
      </c>
      <c r="V256" s="69">
        <v>0.0</v>
      </c>
    </row>
    <row r="257">
      <c r="A257" s="6">
        <v>2.192982456140351</v>
      </c>
      <c r="B257" s="6">
        <v>2.2</v>
      </c>
      <c r="H257" s="69">
        <v>0.0</v>
      </c>
      <c r="N257" s="122">
        <v>1.0</v>
      </c>
      <c r="V257" s="69">
        <v>0.0</v>
      </c>
    </row>
    <row r="258">
      <c r="A258" s="6">
        <v>2.614035087719298</v>
      </c>
      <c r="B258" s="6">
        <v>2.5</v>
      </c>
      <c r="H258" s="69">
        <v>0.0</v>
      </c>
      <c r="N258" s="122">
        <v>0.20340715502555368</v>
      </c>
      <c r="V258" s="69">
        <v>5870.0</v>
      </c>
    </row>
    <row r="259">
      <c r="A259" s="6">
        <v>3.5964912280701755</v>
      </c>
      <c r="B259" s="6">
        <v>3.2</v>
      </c>
      <c r="H259" s="69">
        <v>0.0</v>
      </c>
      <c r="N259" s="122">
        <v>1.0</v>
      </c>
      <c r="V259" s="69">
        <v>50000.0</v>
      </c>
    </row>
    <row r="260">
      <c r="A260" s="6">
        <v>3.456140350877192</v>
      </c>
      <c r="B260" s="6">
        <v>3.0999999999999996</v>
      </c>
      <c r="H260" s="69">
        <v>0.0</v>
      </c>
      <c r="N260" s="122">
        <v>1.0</v>
      </c>
      <c r="V260" s="69">
        <v>0.0</v>
      </c>
    </row>
    <row r="261">
      <c r="A261" s="6">
        <v>3.807017543859649</v>
      </c>
      <c r="B261" s="6">
        <v>3.35</v>
      </c>
      <c r="H261" s="69">
        <v>0.0</v>
      </c>
      <c r="N261" s="122">
        <v>0.017335663228374956</v>
      </c>
      <c r="V261" s="69">
        <v>353664.0</v>
      </c>
    </row>
    <row r="262">
      <c r="A262" s="6">
        <v>3.1754385964912277</v>
      </c>
      <c r="B262" s="6">
        <v>2.9</v>
      </c>
      <c r="H262" s="69">
        <v>2840294.0</v>
      </c>
      <c r="N262" s="122">
        <v>0.0036194503449710007</v>
      </c>
      <c r="V262" s="69">
        <v>2.1865751E7</v>
      </c>
    </row>
    <row r="263">
      <c r="A263" s="6">
        <v>2.614035087719298</v>
      </c>
      <c r="B263" s="6">
        <v>2.5</v>
      </c>
      <c r="H263" s="69">
        <v>0.0</v>
      </c>
      <c r="N263" s="122">
        <v>0.0918</v>
      </c>
      <c r="V263" s="69">
        <v>60000.0</v>
      </c>
    </row>
    <row r="264">
      <c r="H264" s="121"/>
      <c r="N264" s="122"/>
      <c r="V264" s="121"/>
    </row>
    <row r="265">
      <c r="H265" s="121"/>
      <c r="N265" s="122"/>
      <c r="V265" s="121"/>
    </row>
    <row r="266">
      <c r="H266" s="121"/>
      <c r="N266" s="122"/>
      <c r="V266" s="121"/>
    </row>
    <row r="267">
      <c r="H267" s="121"/>
      <c r="N267" s="122"/>
      <c r="V267" s="121"/>
    </row>
    <row r="268">
      <c r="H268" s="121"/>
      <c r="N268" s="122"/>
      <c r="V268" s="121"/>
    </row>
    <row r="269">
      <c r="H269" s="121"/>
      <c r="N269" s="122"/>
      <c r="V269" s="121"/>
    </row>
    <row r="270">
      <c r="H270" s="121"/>
      <c r="N270" s="122"/>
      <c r="V270" s="121"/>
    </row>
    <row r="271">
      <c r="H271" s="121"/>
      <c r="N271" s="122"/>
      <c r="V271" s="121"/>
    </row>
    <row r="272">
      <c r="H272" s="121"/>
      <c r="N272" s="122"/>
      <c r="V272" s="121"/>
    </row>
    <row r="273">
      <c r="H273" s="121"/>
      <c r="N273" s="122"/>
      <c r="V273" s="121"/>
    </row>
    <row r="274">
      <c r="A274" s="67"/>
      <c r="H274" s="121"/>
      <c r="N274" s="122"/>
      <c r="V274" s="121"/>
    </row>
    <row r="275">
      <c r="A275" s="118"/>
      <c r="H275" s="121"/>
      <c r="N275" s="122"/>
      <c r="V275" s="121"/>
    </row>
    <row r="276">
      <c r="A276" s="134" t="s">
        <v>191</v>
      </c>
      <c r="D276" t="s">
        <v>200</v>
      </c>
      <c r="G276" s="69" t="s">
        <v>584</v>
      </c>
      <c r="H276" s="121"/>
      <c r="N276" s="122"/>
      <c r="V276" s="121"/>
    </row>
    <row r="277">
      <c r="A277" s="134"/>
      <c r="D277">
        <v>2500000.0</v>
      </c>
      <c r="G277" s="121">
        <v>2500000.0</v>
      </c>
      <c r="H277" s="121">
        <f>COUNT(G277:G538)</f>
        <v>262</v>
      </c>
      <c r="I277">
        <f>SQRT(H277)</f>
        <v>16.18641406</v>
      </c>
      <c r="J277" s="121">
        <f>(max(G277:G538)-min(G277:G538))/I277</f>
        <v>7407446.738</v>
      </c>
      <c r="K277" s="121">
        <f t="shared" ref="K277:K538" si="1">IF(OR(G277&gt;=$H$279, G277&lt;=$H$280), "", G277)</f>
        <v>2500000</v>
      </c>
      <c r="L277" s="15" t="s">
        <v>69</v>
      </c>
      <c r="M277" s="15">
        <v>22.0</v>
      </c>
      <c r="N277" s="122">
        <f t="shared" ref="N277:N298" si="2">Round(1+((M277-MIN($M$277:$M$298))*(4)/(MAX($M$277:$M$298) - MIN($M$277:$M$298))),1)</f>
        <v>5</v>
      </c>
      <c r="Q277">
        <v>2500000.0</v>
      </c>
      <c r="R277" s="15">
        <v>262.0</v>
      </c>
      <c r="T277" s="121">
        <f>R279</f>
        <v>2353825.861</v>
      </c>
      <c r="U277" s="15">
        <v>16.0</v>
      </c>
      <c r="V277" s="121">
        <f t="shared" ref="V277:V292" si="3">Round(1+((U277-MIN($U$277:$U$292))*(4)/(MAX($U$277:$U$292) - MIN($U$277:$U$292))),1)</f>
        <v>5</v>
      </c>
    </row>
    <row r="278">
      <c r="A278" s="134">
        <v>2.81E7</v>
      </c>
      <c r="D278" t="s">
        <v>585</v>
      </c>
      <c r="G278" s="121">
        <v>2.81E7</v>
      </c>
      <c r="H278" s="121"/>
      <c r="K278" s="121">
        <f t="shared" si="1"/>
        <v>28100000</v>
      </c>
      <c r="L278" s="15" t="s">
        <v>72</v>
      </c>
      <c r="M278" s="15">
        <v>21.0</v>
      </c>
      <c r="N278" s="122">
        <f t="shared" si="2"/>
        <v>4.8</v>
      </c>
      <c r="Q278">
        <v>2.81E7</v>
      </c>
      <c r="R278" s="15">
        <f>SQRT(R277)</f>
        <v>16.18641406</v>
      </c>
      <c r="T278" s="121">
        <f t="shared" ref="T278:T292" si="4">T277+$R$279</f>
        <v>4707651.722</v>
      </c>
      <c r="U278" s="15">
        <v>15.0</v>
      </c>
      <c r="V278" s="121">
        <f t="shared" si="3"/>
        <v>4.7</v>
      </c>
    </row>
    <row r="279">
      <c r="A279" s="134"/>
      <c r="D279">
        <v>400000.0</v>
      </c>
      <c r="G279" s="121">
        <v>400000.0</v>
      </c>
      <c r="H279" s="121">
        <f>PERCENTILE($G$277:$G$538, 0.99)</f>
        <v>72790219.4</v>
      </c>
      <c r="K279" t="str">
        <f t="shared" si="1"/>
        <v/>
      </c>
      <c r="L279" s="15" t="s">
        <v>113</v>
      </c>
      <c r="M279" s="15">
        <v>20.0</v>
      </c>
      <c r="N279" s="122">
        <f t="shared" si="2"/>
        <v>4.6</v>
      </c>
      <c r="Q279">
        <v>7500000.0</v>
      </c>
      <c r="R279" s="121">
        <f>(max(Q277:Q329) - min(Q277:Q329))/R278</f>
        <v>2353825.861</v>
      </c>
      <c r="T279" s="121">
        <f t="shared" si="4"/>
        <v>7061477.583</v>
      </c>
      <c r="U279" s="15">
        <v>14.0</v>
      </c>
      <c r="V279" s="121">
        <f t="shared" si="3"/>
        <v>4.5</v>
      </c>
    </row>
    <row r="280">
      <c r="A280" s="134">
        <v>7500000.0</v>
      </c>
      <c r="D280" t="s">
        <v>585</v>
      </c>
      <c r="G280" s="121">
        <v>7500000.0</v>
      </c>
      <c r="H280" s="121">
        <f>PERCENTILE($G$277:$G$538, 0.01)</f>
        <v>430500</v>
      </c>
      <c r="K280" s="121">
        <f t="shared" si="1"/>
        <v>7500000</v>
      </c>
      <c r="L280" s="15" t="s">
        <v>130</v>
      </c>
      <c r="M280" s="15">
        <v>19.0</v>
      </c>
      <c r="N280" s="122">
        <f t="shared" si="2"/>
        <v>4.4</v>
      </c>
      <c r="Q280">
        <v>4800000.0</v>
      </c>
      <c r="T280" s="121">
        <f t="shared" si="4"/>
        <v>9415303.443</v>
      </c>
      <c r="U280" s="15">
        <v>13.0</v>
      </c>
      <c r="V280" s="121">
        <f t="shared" si="3"/>
        <v>4.2</v>
      </c>
    </row>
    <row r="281">
      <c r="A281" s="134"/>
      <c r="D281">
        <v>4800000.0</v>
      </c>
      <c r="G281" s="121">
        <v>4800000.0</v>
      </c>
      <c r="H281" s="121"/>
      <c r="K281" s="121">
        <f t="shared" si="1"/>
        <v>4800000</v>
      </c>
      <c r="L281" s="15" t="s">
        <v>143</v>
      </c>
      <c r="M281" s="15">
        <v>18.0</v>
      </c>
      <c r="N281" s="122">
        <f t="shared" si="2"/>
        <v>4.2</v>
      </c>
      <c r="Q281">
        <v>3.5E7</v>
      </c>
      <c r="T281" s="121">
        <f t="shared" si="4"/>
        <v>11769129.3</v>
      </c>
      <c r="U281" s="15">
        <v>12.0</v>
      </c>
      <c r="V281" s="121">
        <f t="shared" si="3"/>
        <v>3.9</v>
      </c>
    </row>
    <row r="282">
      <c r="A282" s="134"/>
      <c r="D282">
        <v>3.5E7</v>
      </c>
      <c r="G282" s="121">
        <v>3.5E7</v>
      </c>
      <c r="H282" s="121"/>
      <c r="K282" s="121">
        <f t="shared" si="1"/>
        <v>35000000</v>
      </c>
      <c r="L282" s="15" t="s">
        <v>162</v>
      </c>
      <c r="M282" s="15">
        <v>17.0</v>
      </c>
      <c r="N282" s="122">
        <f t="shared" si="2"/>
        <v>4</v>
      </c>
      <c r="Q282">
        <v>1.3916596E7</v>
      </c>
      <c r="T282" s="121">
        <f t="shared" si="4"/>
        <v>14122955.17</v>
      </c>
      <c r="U282" s="15">
        <v>11.0</v>
      </c>
      <c r="V282" s="121">
        <f t="shared" si="3"/>
        <v>3.7</v>
      </c>
    </row>
    <row r="283">
      <c r="A283" s="134">
        <v>1.3916596E7</v>
      </c>
      <c r="D283" t="s">
        <v>585</v>
      </c>
      <c r="G283" s="121">
        <v>1.3916596E7</v>
      </c>
      <c r="H283" s="121"/>
      <c r="K283" s="121">
        <f t="shared" si="1"/>
        <v>13916596</v>
      </c>
      <c r="L283" s="15" t="s">
        <v>187</v>
      </c>
      <c r="M283" s="15">
        <v>16.0</v>
      </c>
      <c r="N283" s="122">
        <f t="shared" si="2"/>
        <v>3.9</v>
      </c>
      <c r="Q283">
        <v>8000000.0</v>
      </c>
      <c r="T283" s="121">
        <f t="shared" si="4"/>
        <v>16476781.03</v>
      </c>
      <c r="U283" s="15">
        <v>10.0</v>
      </c>
      <c r="V283" s="121">
        <f t="shared" si="3"/>
        <v>3.4</v>
      </c>
    </row>
    <row r="284">
      <c r="A284" s="134">
        <v>8000000.0</v>
      </c>
      <c r="D284" t="s">
        <v>585</v>
      </c>
      <c r="G284" s="121">
        <v>8000000.0</v>
      </c>
      <c r="H284" s="121"/>
      <c r="K284" s="121">
        <f t="shared" si="1"/>
        <v>8000000</v>
      </c>
      <c r="L284" s="15" t="s">
        <v>207</v>
      </c>
      <c r="M284" s="15">
        <v>15.0</v>
      </c>
      <c r="N284" s="122">
        <f t="shared" si="2"/>
        <v>3.7</v>
      </c>
      <c r="Q284">
        <v>1.6E7</v>
      </c>
      <c r="T284" s="121">
        <f t="shared" si="4"/>
        <v>18830606.89</v>
      </c>
      <c r="U284" s="15">
        <v>9.0</v>
      </c>
      <c r="V284" s="121">
        <f t="shared" si="3"/>
        <v>3.1</v>
      </c>
    </row>
    <row r="285">
      <c r="A285" s="134">
        <v>1.6E7</v>
      </c>
      <c r="D285" t="s">
        <v>585</v>
      </c>
      <c r="G285" s="121">
        <v>1.6E7</v>
      </c>
      <c r="H285" s="121"/>
      <c r="K285" s="121">
        <f t="shared" si="1"/>
        <v>16000000</v>
      </c>
      <c r="L285" s="15" t="s">
        <v>240</v>
      </c>
      <c r="M285" s="15">
        <v>14.0</v>
      </c>
      <c r="N285" s="122">
        <f t="shared" si="2"/>
        <v>3.5</v>
      </c>
      <c r="Q285">
        <v>1.7507365E7</v>
      </c>
      <c r="T285" s="121">
        <f t="shared" si="4"/>
        <v>21184432.75</v>
      </c>
      <c r="U285" s="15">
        <v>8.0</v>
      </c>
      <c r="V285" s="121">
        <f t="shared" si="3"/>
        <v>2.9</v>
      </c>
    </row>
    <row r="286">
      <c r="A286" s="134">
        <v>1.7507365E7</v>
      </c>
      <c r="D286" t="s">
        <v>585</v>
      </c>
      <c r="G286" s="121">
        <v>1.7507365E7</v>
      </c>
      <c r="H286" s="121"/>
      <c r="K286" s="121">
        <f t="shared" si="1"/>
        <v>17507365</v>
      </c>
      <c r="L286" s="15" t="s">
        <v>284</v>
      </c>
      <c r="M286" s="15">
        <v>13.0</v>
      </c>
      <c r="N286" s="122">
        <f t="shared" si="2"/>
        <v>3.3</v>
      </c>
      <c r="Q286">
        <v>5600000.0</v>
      </c>
      <c r="T286" s="121">
        <f t="shared" si="4"/>
        <v>23538258.61</v>
      </c>
      <c r="U286" s="15">
        <v>7.0</v>
      </c>
      <c r="V286" s="121">
        <f t="shared" si="3"/>
        <v>2.6</v>
      </c>
    </row>
    <row r="287">
      <c r="A287" s="134"/>
      <c r="D287">
        <v>5600000.0</v>
      </c>
      <c r="G287" s="121">
        <v>5600000.0</v>
      </c>
      <c r="H287" s="121"/>
      <c r="K287" s="121">
        <f t="shared" si="1"/>
        <v>5600000</v>
      </c>
      <c r="L287" s="15" t="s">
        <v>320</v>
      </c>
      <c r="M287" s="15">
        <v>12.0</v>
      </c>
      <c r="N287" s="122">
        <f t="shared" si="2"/>
        <v>3.1</v>
      </c>
      <c r="Q287">
        <v>6410000.0</v>
      </c>
      <c r="T287" s="121">
        <f t="shared" si="4"/>
        <v>25892084.47</v>
      </c>
      <c r="U287" s="15">
        <v>6.0</v>
      </c>
      <c r="V287" s="121">
        <f t="shared" si="3"/>
        <v>2.3</v>
      </c>
    </row>
    <row r="288">
      <c r="A288" s="134">
        <v>6410000.0</v>
      </c>
      <c r="D288" t="s">
        <v>585</v>
      </c>
      <c r="G288" s="121">
        <v>6410000.0</v>
      </c>
      <c r="H288" s="121"/>
      <c r="K288" s="121">
        <f t="shared" si="1"/>
        <v>6410000</v>
      </c>
      <c r="L288" s="15" t="s">
        <v>331</v>
      </c>
      <c r="M288" s="15">
        <v>11.0</v>
      </c>
      <c r="N288" s="122">
        <f t="shared" si="2"/>
        <v>2.9</v>
      </c>
      <c r="Q288">
        <v>3600000.0</v>
      </c>
      <c r="T288" s="121">
        <f t="shared" si="4"/>
        <v>28245910.33</v>
      </c>
      <c r="U288" s="15">
        <v>5.0</v>
      </c>
      <c r="V288" s="121">
        <f t="shared" si="3"/>
        <v>2.1</v>
      </c>
    </row>
    <row r="289">
      <c r="A289" s="134"/>
      <c r="D289">
        <v>3600000.0</v>
      </c>
      <c r="G289" s="121">
        <v>3600000.0</v>
      </c>
      <c r="H289" s="121"/>
      <c r="K289" s="121">
        <f t="shared" si="1"/>
        <v>3600000</v>
      </c>
      <c r="L289" s="15" t="s">
        <v>339</v>
      </c>
      <c r="M289" s="15">
        <v>10.0</v>
      </c>
      <c r="N289" s="122">
        <f t="shared" si="2"/>
        <v>2.7</v>
      </c>
      <c r="Q289">
        <v>6560000.0</v>
      </c>
      <c r="T289" s="121">
        <f t="shared" si="4"/>
        <v>30599736.19</v>
      </c>
      <c r="U289" s="15">
        <v>4.0</v>
      </c>
      <c r="V289" s="121">
        <f t="shared" si="3"/>
        <v>1.8</v>
      </c>
    </row>
    <row r="290">
      <c r="A290" s="134"/>
      <c r="D290">
        <v>6560000.0</v>
      </c>
      <c r="G290" s="121">
        <v>6560000.0</v>
      </c>
      <c r="H290" s="121"/>
      <c r="K290" s="121">
        <f t="shared" si="1"/>
        <v>6560000</v>
      </c>
      <c r="L290" s="15" t="s">
        <v>345</v>
      </c>
      <c r="M290" s="15">
        <v>9.0</v>
      </c>
      <c r="N290" s="122">
        <f t="shared" si="2"/>
        <v>2.5</v>
      </c>
      <c r="Q290">
        <v>3200000.0</v>
      </c>
      <c r="T290" s="121">
        <f t="shared" si="4"/>
        <v>32953562.05</v>
      </c>
      <c r="U290" s="15">
        <v>3.0</v>
      </c>
      <c r="V290" s="121">
        <f t="shared" si="3"/>
        <v>1.5</v>
      </c>
    </row>
    <row r="291">
      <c r="A291" s="134"/>
      <c r="D291">
        <v>3200000.0</v>
      </c>
      <c r="G291" s="121">
        <v>3200000.0</v>
      </c>
      <c r="H291" s="121"/>
      <c r="K291" s="121">
        <f t="shared" si="1"/>
        <v>3200000</v>
      </c>
      <c r="L291" s="15" t="s">
        <v>353</v>
      </c>
      <c r="M291" s="15">
        <v>8.0</v>
      </c>
      <c r="N291" s="122">
        <f t="shared" si="2"/>
        <v>2.3</v>
      </c>
      <c r="Q291">
        <v>7100000.0</v>
      </c>
      <c r="T291" s="121">
        <f t="shared" si="4"/>
        <v>35307387.91</v>
      </c>
      <c r="U291" s="15">
        <v>2.0</v>
      </c>
      <c r="V291" s="121">
        <f t="shared" si="3"/>
        <v>1.3</v>
      </c>
    </row>
    <row r="292">
      <c r="A292" s="134">
        <v>7100000.0</v>
      </c>
      <c r="D292" t="s">
        <v>585</v>
      </c>
      <c r="G292" s="121">
        <v>7100000.0</v>
      </c>
      <c r="H292" s="121"/>
      <c r="K292" s="121">
        <f t="shared" si="1"/>
        <v>7100000</v>
      </c>
      <c r="L292" s="15" t="s">
        <v>360</v>
      </c>
      <c r="M292" s="15">
        <v>7.0</v>
      </c>
      <c r="N292" s="122">
        <f t="shared" si="2"/>
        <v>2.1</v>
      </c>
      <c r="Q292">
        <v>5490000.0</v>
      </c>
      <c r="T292" s="121">
        <f t="shared" si="4"/>
        <v>37661213.77</v>
      </c>
      <c r="U292" s="15">
        <v>1.0</v>
      </c>
      <c r="V292" s="121">
        <f t="shared" si="3"/>
        <v>1</v>
      </c>
    </row>
    <row r="293">
      <c r="A293" s="134">
        <v>5490000.0</v>
      </c>
      <c r="D293" t="s">
        <v>585</v>
      </c>
      <c r="G293" s="121">
        <v>5490000.0</v>
      </c>
      <c r="H293" s="121"/>
      <c r="K293" s="121">
        <f t="shared" si="1"/>
        <v>5490000</v>
      </c>
      <c r="L293" s="15" t="s">
        <v>364</v>
      </c>
      <c r="M293" s="15">
        <v>6.0</v>
      </c>
      <c r="N293" s="122">
        <f t="shared" si="2"/>
        <v>2</v>
      </c>
      <c r="Q293">
        <v>5000000.0</v>
      </c>
      <c r="V293" s="121"/>
    </row>
    <row r="294">
      <c r="A294" s="134"/>
      <c r="D294">
        <v>5000000.0</v>
      </c>
      <c r="G294" s="121">
        <v>5000000.0</v>
      </c>
      <c r="H294" s="121"/>
      <c r="K294" s="121">
        <f t="shared" si="1"/>
        <v>5000000</v>
      </c>
      <c r="L294" s="15" t="s">
        <v>371</v>
      </c>
      <c r="M294" s="15">
        <v>5.0</v>
      </c>
      <c r="N294" s="122">
        <f t="shared" si="2"/>
        <v>1.8</v>
      </c>
      <c r="Q294">
        <v>7200000.0</v>
      </c>
      <c r="V294" s="121"/>
    </row>
    <row r="295">
      <c r="A295" s="134"/>
      <c r="D295">
        <v>7200000.0</v>
      </c>
      <c r="G295" s="121">
        <v>7200000.0</v>
      </c>
      <c r="H295" s="121"/>
      <c r="K295" s="121">
        <f t="shared" si="1"/>
        <v>7200000</v>
      </c>
      <c r="L295" s="15" t="s">
        <v>376</v>
      </c>
      <c r="M295" s="15">
        <v>4.0</v>
      </c>
      <c r="N295" s="122">
        <f t="shared" si="2"/>
        <v>1.6</v>
      </c>
      <c r="Q295">
        <v>1.76E7</v>
      </c>
      <c r="V295" s="121"/>
    </row>
    <row r="296">
      <c r="A296" s="134"/>
      <c r="D296">
        <v>1.76E7</v>
      </c>
      <c r="G296" s="121">
        <v>1.76E7</v>
      </c>
      <c r="H296" s="121"/>
      <c r="K296" s="121">
        <f t="shared" si="1"/>
        <v>17600000</v>
      </c>
      <c r="L296" s="15" t="s">
        <v>382</v>
      </c>
      <c r="M296" s="15">
        <v>3.0</v>
      </c>
      <c r="N296" s="122">
        <f t="shared" si="2"/>
        <v>1.4</v>
      </c>
      <c r="Q296">
        <v>1.2E7</v>
      </c>
      <c r="V296" s="121"/>
    </row>
    <row r="297">
      <c r="A297" s="134">
        <v>1.2E7</v>
      </c>
      <c r="D297" t="s">
        <v>585</v>
      </c>
      <c r="G297" s="121">
        <v>1.2E7</v>
      </c>
      <c r="H297" s="121"/>
      <c r="K297" s="121">
        <f t="shared" si="1"/>
        <v>12000000</v>
      </c>
      <c r="L297" s="15" t="s">
        <v>387</v>
      </c>
      <c r="M297" s="15">
        <v>2.0</v>
      </c>
      <c r="N297" s="122">
        <f t="shared" si="2"/>
        <v>1.2</v>
      </c>
      <c r="Q297">
        <v>2500000.0</v>
      </c>
      <c r="V297" s="121"/>
    </row>
    <row r="298">
      <c r="A298" s="134">
        <v>2500000.0</v>
      </c>
      <c r="D298" t="s">
        <v>585</v>
      </c>
      <c r="G298" s="121">
        <v>2500000.0</v>
      </c>
      <c r="H298" s="121"/>
      <c r="K298" s="121">
        <f t="shared" si="1"/>
        <v>2500000</v>
      </c>
      <c r="L298" s="15" t="s">
        <v>393</v>
      </c>
      <c r="M298" s="15">
        <v>1.0</v>
      </c>
      <c r="N298" s="122">
        <f t="shared" si="2"/>
        <v>1</v>
      </c>
      <c r="Q298">
        <v>1.5E7</v>
      </c>
      <c r="V298" s="121"/>
    </row>
    <row r="299">
      <c r="A299" s="134">
        <v>1.5E7</v>
      </c>
      <c r="D299" t="s">
        <v>585</v>
      </c>
      <c r="G299" s="121">
        <v>1.5E7</v>
      </c>
      <c r="H299" s="121"/>
      <c r="K299" s="121">
        <f t="shared" si="1"/>
        <v>15000000</v>
      </c>
      <c r="N299" s="122"/>
      <c r="Q299">
        <v>1920000.0</v>
      </c>
      <c r="V299" s="121"/>
    </row>
    <row r="300">
      <c r="A300" s="134"/>
      <c r="D300">
        <v>1920000.0</v>
      </c>
      <c r="G300" s="121">
        <v>1920000.0</v>
      </c>
      <c r="H300" s="121"/>
      <c r="K300" s="121">
        <f t="shared" si="1"/>
        <v>1920000</v>
      </c>
      <c r="N300" s="122"/>
      <c r="Q300">
        <v>3.5E7</v>
      </c>
      <c r="V300" s="121"/>
    </row>
    <row r="301">
      <c r="A301" s="134"/>
      <c r="D301">
        <v>3.5E7</v>
      </c>
      <c r="G301" s="121">
        <v>3.5E7</v>
      </c>
      <c r="H301" s="121"/>
      <c r="K301" s="121">
        <f t="shared" si="1"/>
        <v>35000000</v>
      </c>
      <c r="N301" s="122"/>
      <c r="Q301">
        <v>2.1959058E7</v>
      </c>
      <c r="V301" s="121"/>
    </row>
    <row r="302">
      <c r="A302" s="134">
        <v>2.1959058E7</v>
      </c>
      <c r="D302" t="s">
        <v>585</v>
      </c>
      <c r="G302" s="121">
        <v>2.1959058E7</v>
      </c>
      <c r="H302" s="121"/>
      <c r="K302" s="121">
        <f t="shared" si="1"/>
        <v>21959058</v>
      </c>
      <c r="N302" s="122"/>
      <c r="Q302">
        <v>2.0E7</v>
      </c>
      <c r="V302" s="121"/>
    </row>
    <row r="303">
      <c r="A303" s="134">
        <v>2.0E7</v>
      </c>
      <c r="D303" t="s">
        <v>585</v>
      </c>
      <c r="G303" s="121">
        <v>2.0E7</v>
      </c>
      <c r="H303" s="121"/>
      <c r="K303" s="121">
        <f t="shared" si="1"/>
        <v>20000000</v>
      </c>
      <c r="N303" s="122"/>
      <c r="Q303">
        <v>2.0E7</v>
      </c>
      <c r="V303" s="121"/>
    </row>
    <row r="304">
      <c r="A304" s="134"/>
      <c r="D304">
        <v>2.0E7</v>
      </c>
      <c r="G304" s="121">
        <v>2.0E7</v>
      </c>
      <c r="H304" s="121"/>
      <c r="K304" s="121">
        <f t="shared" si="1"/>
        <v>20000000</v>
      </c>
      <c r="N304" s="122"/>
      <c r="Q304">
        <v>7000000.0</v>
      </c>
      <c r="V304" s="121"/>
    </row>
    <row r="305">
      <c r="A305" s="134"/>
      <c r="D305">
        <v>7000000.0</v>
      </c>
      <c r="G305" s="121">
        <v>7000000.0</v>
      </c>
      <c r="H305" s="121"/>
      <c r="K305" s="121">
        <f t="shared" si="1"/>
        <v>7000000</v>
      </c>
      <c r="N305" s="122"/>
      <c r="Q305">
        <v>2500000.0</v>
      </c>
      <c r="V305" s="121"/>
    </row>
    <row r="306">
      <c r="A306" s="134"/>
      <c r="D306">
        <v>2500000.0</v>
      </c>
      <c r="G306" s="121">
        <v>2500000.0</v>
      </c>
      <c r="H306" s="121"/>
      <c r="K306" s="121">
        <f t="shared" si="1"/>
        <v>2500000</v>
      </c>
      <c r="N306" s="122"/>
      <c r="Q306">
        <v>3000000.0</v>
      </c>
      <c r="V306" s="121"/>
    </row>
    <row r="307">
      <c r="A307" s="134"/>
      <c r="D307">
        <v>3000000.0</v>
      </c>
      <c r="G307" s="121">
        <v>3000000.0</v>
      </c>
      <c r="H307" s="121"/>
      <c r="K307" s="121">
        <f t="shared" si="1"/>
        <v>3000000</v>
      </c>
      <c r="N307" s="122"/>
      <c r="Q307">
        <v>1900000.0</v>
      </c>
      <c r="V307" s="121"/>
    </row>
    <row r="308">
      <c r="A308" s="134"/>
      <c r="D308">
        <v>1900000.0</v>
      </c>
      <c r="G308" s="121">
        <v>1900000.0</v>
      </c>
      <c r="H308" s="121"/>
      <c r="K308" s="121">
        <f t="shared" si="1"/>
        <v>1900000</v>
      </c>
      <c r="N308" s="122"/>
      <c r="Q308">
        <v>1500000.0</v>
      </c>
      <c r="V308" s="121"/>
    </row>
    <row r="309">
      <c r="A309" s="134"/>
      <c r="D309">
        <v>1500000.0</v>
      </c>
      <c r="G309" s="121">
        <v>1500000.0</v>
      </c>
      <c r="H309" s="121"/>
      <c r="K309" s="121">
        <f t="shared" si="1"/>
        <v>1500000</v>
      </c>
      <c r="N309" s="122"/>
      <c r="Q309">
        <v>8750000.0</v>
      </c>
      <c r="V309" s="121"/>
    </row>
    <row r="310">
      <c r="A310" s="134"/>
      <c r="D310">
        <v>8750000.0</v>
      </c>
      <c r="G310" s="121">
        <v>8750000.0</v>
      </c>
      <c r="H310" s="121"/>
      <c r="K310" s="121">
        <f t="shared" si="1"/>
        <v>8750000</v>
      </c>
      <c r="N310" s="122"/>
      <c r="Q310">
        <v>5600000.0</v>
      </c>
      <c r="V310" s="121"/>
    </row>
    <row r="311">
      <c r="A311" s="134"/>
      <c r="D311">
        <v>5600000.0</v>
      </c>
      <c r="G311" s="121">
        <v>5600000.0</v>
      </c>
      <c r="H311" s="121"/>
      <c r="K311" s="121">
        <f t="shared" si="1"/>
        <v>5600000</v>
      </c>
      <c r="N311" s="122"/>
      <c r="Q311">
        <v>1600000.0</v>
      </c>
      <c r="V311" s="121"/>
    </row>
    <row r="312">
      <c r="A312" s="134"/>
      <c r="D312">
        <v>1600000.0</v>
      </c>
      <c r="G312" s="121">
        <v>1600000.0</v>
      </c>
      <c r="H312" s="121"/>
      <c r="K312" s="121">
        <f t="shared" si="1"/>
        <v>1600000</v>
      </c>
      <c r="N312" s="122"/>
      <c r="Q312">
        <v>1500000.0</v>
      </c>
      <c r="V312" s="121"/>
    </row>
    <row r="313">
      <c r="A313" s="134"/>
      <c r="D313">
        <v>1500000.0</v>
      </c>
      <c r="G313" s="121">
        <v>1500000.0</v>
      </c>
      <c r="H313" s="121"/>
      <c r="K313" s="121">
        <f t="shared" si="1"/>
        <v>1500000</v>
      </c>
      <c r="N313" s="122"/>
      <c r="Q313">
        <v>2000000.0</v>
      </c>
      <c r="V313" s="121"/>
    </row>
    <row r="314">
      <c r="A314" s="134"/>
      <c r="D314">
        <v>2000000.0</v>
      </c>
      <c r="G314" s="121">
        <v>2000000.0</v>
      </c>
      <c r="H314" s="121"/>
      <c r="K314" s="121">
        <f t="shared" si="1"/>
        <v>2000000</v>
      </c>
      <c r="N314" s="122"/>
      <c r="Q314">
        <v>2480000.0</v>
      </c>
      <c r="V314" s="121"/>
    </row>
    <row r="315">
      <c r="A315" s="134"/>
      <c r="D315">
        <v>2480000.0</v>
      </c>
      <c r="G315" s="121">
        <v>2480000.0</v>
      </c>
      <c r="H315" s="121"/>
      <c r="K315" s="121">
        <f t="shared" si="1"/>
        <v>2480000</v>
      </c>
      <c r="N315" s="122"/>
      <c r="Q315">
        <v>1500000.0</v>
      </c>
      <c r="V315" s="121"/>
    </row>
    <row r="316">
      <c r="A316" s="134"/>
      <c r="D316">
        <v>1500000.0</v>
      </c>
      <c r="G316" s="121">
        <v>1500000.0</v>
      </c>
      <c r="H316" s="121"/>
      <c r="K316" s="121">
        <f t="shared" si="1"/>
        <v>1500000</v>
      </c>
      <c r="N316" s="122"/>
      <c r="Q316">
        <v>2500000.0</v>
      </c>
      <c r="V316" s="121"/>
    </row>
    <row r="317">
      <c r="A317" s="134"/>
      <c r="D317">
        <v>2500000.0</v>
      </c>
      <c r="G317" s="121">
        <v>2500000.0</v>
      </c>
      <c r="H317" s="121"/>
      <c r="K317" s="121">
        <f t="shared" si="1"/>
        <v>2500000</v>
      </c>
      <c r="N317" s="122"/>
      <c r="Q317">
        <v>900000.0</v>
      </c>
      <c r="V317" s="121"/>
    </row>
    <row r="318">
      <c r="A318" s="134"/>
      <c r="D318">
        <v>900000.0</v>
      </c>
      <c r="G318" s="121">
        <v>900000.0</v>
      </c>
      <c r="H318" s="121"/>
      <c r="K318" s="121">
        <f t="shared" si="1"/>
        <v>900000</v>
      </c>
      <c r="N318" s="122"/>
      <c r="Q318">
        <v>2000000.0</v>
      </c>
      <c r="V318" s="121"/>
    </row>
    <row r="319">
      <c r="A319" s="134"/>
      <c r="D319">
        <v>2000000.0</v>
      </c>
      <c r="G319" s="121">
        <v>2000000.0</v>
      </c>
      <c r="H319" s="121"/>
      <c r="K319" s="121">
        <f t="shared" si="1"/>
        <v>2000000</v>
      </c>
      <c r="N319" s="122"/>
      <c r="Q319">
        <v>5000000.0</v>
      </c>
      <c r="V319" s="121"/>
    </row>
    <row r="320">
      <c r="A320" s="134"/>
      <c r="D320">
        <v>5000000.0</v>
      </c>
      <c r="G320" s="121">
        <v>5000000.0</v>
      </c>
      <c r="H320" s="121"/>
      <c r="K320" s="121">
        <f t="shared" si="1"/>
        <v>5000000</v>
      </c>
      <c r="N320" s="122"/>
      <c r="Q320">
        <v>6400000.0</v>
      </c>
      <c r="V320" s="121"/>
    </row>
    <row r="321">
      <c r="A321" s="134"/>
      <c r="D321">
        <v>6400000.0</v>
      </c>
      <c r="G321" s="121">
        <v>6400000.0</v>
      </c>
      <c r="H321" s="121"/>
      <c r="K321" s="121">
        <f t="shared" si="1"/>
        <v>6400000</v>
      </c>
      <c r="N321" s="122"/>
      <c r="Q321">
        <v>6800000.0</v>
      </c>
      <c r="V321" s="121"/>
    </row>
    <row r="322">
      <c r="A322" s="134"/>
      <c r="D322">
        <v>6800000.0</v>
      </c>
      <c r="G322" s="121">
        <v>6800000.0</v>
      </c>
      <c r="H322" s="121"/>
      <c r="K322" s="121">
        <f t="shared" si="1"/>
        <v>6800000</v>
      </c>
      <c r="N322" s="122"/>
      <c r="Q322">
        <v>8030000.0</v>
      </c>
      <c r="V322" s="121"/>
    </row>
    <row r="323">
      <c r="A323" s="134">
        <v>8030000.0</v>
      </c>
      <c r="D323" t="s">
        <v>585</v>
      </c>
      <c r="G323" s="121">
        <v>8030000.0</v>
      </c>
      <c r="H323" s="121"/>
      <c r="K323" s="121">
        <f t="shared" si="1"/>
        <v>8030000</v>
      </c>
      <c r="N323" s="122"/>
      <c r="Q323">
        <v>4490000.0</v>
      </c>
      <c r="V323" s="121"/>
    </row>
    <row r="324">
      <c r="A324" s="134">
        <v>4490000.0</v>
      </c>
      <c r="D324" t="s">
        <v>585</v>
      </c>
      <c r="G324" s="121">
        <v>4490000.0</v>
      </c>
      <c r="H324" s="121"/>
      <c r="K324" s="121">
        <f t="shared" si="1"/>
        <v>4490000</v>
      </c>
      <c r="N324" s="122"/>
      <c r="Q324">
        <v>3010000.0</v>
      </c>
      <c r="V324" s="121"/>
    </row>
    <row r="325">
      <c r="A325" s="134">
        <v>3010000.0</v>
      </c>
      <c r="D325" t="s">
        <v>585</v>
      </c>
      <c r="G325" s="121">
        <v>3010000.0</v>
      </c>
      <c r="H325" s="121"/>
      <c r="K325" s="121">
        <f t="shared" si="1"/>
        <v>3010000</v>
      </c>
      <c r="N325" s="122"/>
      <c r="Q325">
        <v>1.98E7</v>
      </c>
      <c r="V325" s="121"/>
    </row>
    <row r="326">
      <c r="A326" s="134"/>
      <c r="D326">
        <v>1.98E7</v>
      </c>
      <c r="G326" s="121">
        <v>1.98E7</v>
      </c>
      <c r="H326" s="121"/>
      <c r="K326" s="121">
        <f t="shared" si="1"/>
        <v>19800000</v>
      </c>
      <c r="N326" s="122"/>
      <c r="Q326">
        <v>8000000.0</v>
      </c>
      <c r="V326" s="121"/>
    </row>
    <row r="327">
      <c r="A327" s="134"/>
      <c r="D327">
        <v>8000000.0</v>
      </c>
      <c r="G327" s="121">
        <v>8000000.0</v>
      </c>
      <c r="H327" s="121"/>
      <c r="K327" s="121">
        <f t="shared" si="1"/>
        <v>8000000</v>
      </c>
      <c r="N327" s="122"/>
      <c r="Q327">
        <v>4000000.0</v>
      </c>
      <c r="V327" s="121"/>
    </row>
    <row r="328">
      <c r="A328" s="134"/>
      <c r="D328">
        <v>4000000.0</v>
      </c>
      <c r="G328" s="121">
        <v>4000000.0</v>
      </c>
      <c r="H328" s="121"/>
      <c r="K328" s="121">
        <f t="shared" si="1"/>
        <v>4000000</v>
      </c>
      <c r="N328" s="122"/>
      <c r="Q328">
        <v>1.28E7</v>
      </c>
      <c r="V328" s="121"/>
    </row>
    <row r="329">
      <c r="A329" s="134">
        <v>1.28E7</v>
      </c>
      <c r="D329" t="s">
        <v>585</v>
      </c>
      <c r="G329" s="121">
        <v>1.28E7</v>
      </c>
      <c r="H329" s="121"/>
      <c r="K329" s="121">
        <f t="shared" si="1"/>
        <v>12800000</v>
      </c>
      <c r="N329" s="122"/>
      <c r="Q329">
        <v>3.9E7</v>
      </c>
      <c r="V329" s="121"/>
    </row>
    <row r="330">
      <c r="A330" s="134">
        <v>3.9E7</v>
      </c>
      <c r="D330" t="s">
        <v>585</v>
      </c>
      <c r="G330" s="121">
        <v>3.9E7</v>
      </c>
      <c r="H330" s="121"/>
      <c r="K330" s="121">
        <f t="shared" si="1"/>
        <v>39000000</v>
      </c>
      <c r="N330" s="122"/>
      <c r="V330" s="121"/>
    </row>
    <row r="331">
      <c r="A331" s="134">
        <v>1.2E8</v>
      </c>
      <c r="D331" t="s">
        <v>585</v>
      </c>
      <c r="G331" s="121">
        <v>1.2E8</v>
      </c>
      <c r="H331" s="121"/>
      <c r="K331" t="str">
        <f t="shared" si="1"/>
        <v/>
      </c>
      <c r="N331" s="122"/>
      <c r="P331" t="s">
        <v>585</v>
      </c>
      <c r="V331" s="121"/>
    </row>
    <row r="332">
      <c r="A332" s="134"/>
      <c r="D332">
        <v>4900000.0</v>
      </c>
      <c r="G332" s="121">
        <v>4900000.0</v>
      </c>
      <c r="H332" s="121"/>
      <c r="K332" s="121">
        <f t="shared" si="1"/>
        <v>4900000</v>
      </c>
      <c r="N332" s="122"/>
      <c r="P332">
        <v>4900000.0</v>
      </c>
      <c r="V332" s="121"/>
    </row>
    <row r="333">
      <c r="A333" s="134">
        <v>3.0E7</v>
      </c>
      <c r="D333" t="s">
        <v>585</v>
      </c>
      <c r="G333" s="121">
        <v>3.0E7</v>
      </c>
      <c r="H333" s="121"/>
      <c r="K333" s="121">
        <f t="shared" si="1"/>
        <v>30000000</v>
      </c>
      <c r="N333" s="122"/>
      <c r="P333">
        <v>3.0E7</v>
      </c>
      <c r="V333" s="121"/>
    </row>
    <row r="334">
      <c r="A334" s="134"/>
      <c r="D334">
        <v>1.0E7</v>
      </c>
      <c r="G334" s="121">
        <v>1.0E7</v>
      </c>
      <c r="H334" s="121"/>
      <c r="K334" s="121">
        <f t="shared" si="1"/>
        <v>10000000</v>
      </c>
      <c r="N334" s="122"/>
      <c r="P334">
        <v>1.0E7</v>
      </c>
      <c r="V334" s="121"/>
    </row>
    <row r="335">
      <c r="A335" s="134">
        <v>5670000.0</v>
      </c>
      <c r="D335" t="s">
        <v>585</v>
      </c>
      <c r="G335" s="121">
        <v>5670000.0</v>
      </c>
      <c r="H335" s="121"/>
      <c r="K335" s="121">
        <f t="shared" si="1"/>
        <v>5670000</v>
      </c>
      <c r="N335" s="122"/>
      <c r="P335">
        <v>5670000.0</v>
      </c>
      <c r="V335" s="121"/>
    </row>
    <row r="336">
      <c r="A336" s="134">
        <v>8.98E7</v>
      </c>
      <c r="D336" t="s">
        <v>585</v>
      </c>
      <c r="G336" s="121">
        <v>8.98E7</v>
      </c>
      <c r="H336" s="121"/>
      <c r="K336" t="str">
        <f t="shared" si="1"/>
        <v/>
      </c>
      <c r="N336" s="122"/>
      <c r="P336" t="s">
        <v>585</v>
      </c>
      <c r="V336" s="121"/>
    </row>
    <row r="337">
      <c r="A337" s="134"/>
      <c r="D337">
        <v>6640000.0</v>
      </c>
      <c r="G337" s="121">
        <v>6640000.0</v>
      </c>
      <c r="H337" s="121"/>
      <c r="K337" s="121">
        <f t="shared" si="1"/>
        <v>6640000</v>
      </c>
      <c r="N337" s="122"/>
      <c r="P337">
        <v>6640000.0</v>
      </c>
      <c r="V337" s="121"/>
    </row>
    <row r="338">
      <c r="A338" s="134"/>
      <c r="D338">
        <v>1.0E7</v>
      </c>
      <c r="G338" s="121">
        <v>1.0E7</v>
      </c>
      <c r="H338" s="121"/>
      <c r="K338" s="121">
        <f t="shared" si="1"/>
        <v>10000000</v>
      </c>
      <c r="N338" s="122"/>
      <c r="P338">
        <v>1.0E7</v>
      </c>
      <c r="V338" s="121"/>
    </row>
    <row r="339">
      <c r="A339" s="134"/>
      <c r="D339">
        <v>5200000.0</v>
      </c>
      <c r="G339" s="121">
        <v>5200000.0</v>
      </c>
      <c r="H339" s="121"/>
      <c r="K339" s="121">
        <f t="shared" si="1"/>
        <v>5200000</v>
      </c>
      <c r="N339" s="122"/>
      <c r="P339">
        <v>5200000.0</v>
      </c>
      <c r="V339" s="121"/>
    </row>
    <row r="340">
      <c r="A340" s="134"/>
      <c r="D340">
        <v>9000000.0</v>
      </c>
      <c r="G340" s="121">
        <v>9000000.0</v>
      </c>
      <c r="H340" s="121"/>
      <c r="K340" s="121">
        <f t="shared" si="1"/>
        <v>9000000</v>
      </c>
      <c r="N340" s="122"/>
      <c r="P340">
        <v>9000000.0</v>
      </c>
      <c r="V340" s="121"/>
    </row>
    <row r="341">
      <c r="A341" s="134">
        <v>5960000.0</v>
      </c>
      <c r="D341" t="s">
        <v>585</v>
      </c>
      <c r="G341" s="121">
        <v>5960000.0</v>
      </c>
      <c r="H341" s="121"/>
      <c r="K341" s="121">
        <f t="shared" si="1"/>
        <v>5960000</v>
      </c>
      <c r="N341" s="122"/>
      <c r="P341">
        <v>5960000.0</v>
      </c>
      <c r="V341" s="121"/>
    </row>
    <row r="342">
      <c r="A342" s="134"/>
      <c r="D342">
        <v>2250000.0</v>
      </c>
      <c r="G342" s="121">
        <v>2250000.0</v>
      </c>
      <c r="H342" s="121"/>
      <c r="K342" s="121">
        <f t="shared" si="1"/>
        <v>2250000</v>
      </c>
      <c r="N342" s="122"/>
      <c r="P342">
        <v>2250000.0</v>
      </c>
      <c r="V342" s="121"/>
    </row>
    <row r="343">
      <c r="A343" s="134"/>
      <c r="D343">
        <v>8500000.0</v>
      </c>
      <c r="G343" s="121">
        <v>8500000.0</v>
      </c>
      <c r="H343" s="121"/>
      <c r="K343" s="121">
        <f t="shared" si="1"/>
        <v>8500000</v>
      </c>
      <c r="N343" s="122"/>
      <c r="P343">
        <v>8500000.0</v>
      </c>
      <c r="V343" s="121"/>
    </row>
    <row r="344">
      <c r="A344" s="134">
        <v>3062500.0</v>
      </c>
      <c r="D344" t="s">
        <v>585</v>
      </c>
      <c r="G344" s="121">
        <v>3062500.0</v>
      </c>
      <c r="H344" s="121"/>
      <c r="K344" s="121">
        <f t="shared" si="1"/>
        <v>3062500</v>
      </c>
      <c r="N344" s="122"/>
      <c r="P344">
        <v>3062500.0</v>
      </c>
      <c r="V344" s="121"/>
    </row>
    <row r="345">
      <c r="A345" s="134"/>
      <c r="D345">
        <v>8000000.0</v>
      </c>
      <c r="G345" s="121">
        <v>8000000.0</v>
      </c>
      <c r="H345" s="121"/>
      <c r="K345" s="121">
        <f t="shared" si="1"/>
        <v>8000000</v>
      </c>
      <c r="N345" s="122"/>
      <c r="P345">
        <v>8000000.0</v>
      </c>
      <c r="V345" s="121"/>
    </row>
    <row r="346">
      <c r="A346" s="134">
        <v>7970000.0</v>
      </c>
      <c r="D346" t="s">
        <v>585</v>
      </c>
      <c r="G346" s="121">
        <v>7970000.0</v>
      </c>
      <c r="H346" s="121"/>
      <c r="K346" s="121">
        <f t="shared" si="1"/>
        <v>7970000</v>
      </c>
      <c r="N346" s="122"/>
      <c r="P346">
        <v>7970000.0</v>
      </c>
      <c r="V346" s="121"/>
    </row>
    <row r="347">
      <c r="A347" s="134">
        <v>5000000.0</v>
      </c>
      <c r="D347" t="s">
        <v>585</v>
      </c>
      <c r="G347" s="121">
        <v>5000000.0</v>
      </c>
      <c r="H347" s="121"/>
      <c r="K347" s="121">
        <f t="shared" si="1"/>
        <v>5000000</v>
      </c>
      <c r="N347" s="122"/>
      <c r="P347">
        <v>5000000.0</v>
      </c>
      <c r="V347" s="121"/>
    </row>
    <row r="348">
      <c r="A348" s="134">
        <v>1.5E7</v>
      </c>
      <c r="D348" t="s">
        <v>585</v>
      </c>
      <c r="G348" s="121">
        <v>1.5E7</v>
      </c>
      <c r="H348" s="121"/>
      <c r="K348" s="121">
        <f t="shared" si="1"/>
        <v>15000000</v>
      </c>
      <c r="N348" s="122"/>
      <c r="P348">
        <v>1.5E7</v>
      </c>
      <c r="V348" s="121"/>
    </row>
    <row r="349">
      <c r="A349" s="134"/>
      <c r="D349">
        <v>2560000.0</v>
      </c>
      <c r="G349" s="121">
        <v>2560000.0</v>
      </c>
      <c r="H349" s="121"/>
      <c r="K349" s="121">
        <f t="shared" si="1"/>
        <v>2560000</v>
      </c>
      <c r="N349" s="122"/>
      <c r="P349">
        <v>2560000.0</v>
      </c>
      <c r="V349" s="121"/>
    </row>
    <row r="350">
      <c r="A350" s="134"/>
      <c r="D350">
        <v>3.2E7</v>
      </c>
      <c r="G350" s="121">
        <v>3.2E7</v>
      </c>
      <c r="H350" s="121"/>
      <c r="K350" s="121">
        <f t="shared" si="1"/>
        <v>32000000</v>
      </c>
      <c r="N350" s="122"/>
      <c r="P350">
        <v>3.2E7</v>
      </c>
      <c r="V350" s="121"/>
    </row>
    <row r="351">
      <c r="A351" s="134"/>
      <c r="D351">
        <v>4000000.0</v>
      </c>
      <c r="G351" s="121">
        <v>4000000.0</v>
      </c>
      <c r="H351" s="121"/>
      <c r="K351" s="121">
        <f t="shared" si="1"/>
        <v>4000000</v>
      </c>
      <c r="N351" s="122"/>
      <c r="P351">
        <v>4000000.0</v>
      </c>
      <c r="V351" s="121"/>
    </row>
    <row r="352">
      <c r="A352" s="134">
        <v>8000000.0</v>
      </c>
      <c r="D352" t="s">
        <v>585</v>
      </c>
      <c r="G352" s="121">
        <v>8000000.0</v>
      </c>
      <c r="H352" s="121"/>
      <c r="K352" s="121">
        <f t="shared" si="1"/>
        <v>8000000</v>
      </c>
      <c r="N352" s="122"/>
      <c r="P352">
        <v>8000000.0</v>
      </c>
      <c r="V352" s="121"/>
    </row>
    <row r="353">
      <c r="A353" s="134">
        <v>3.0E7</v>
      </c>
      <c r="D353" t="s">
        <v>585</v>
      </c>
      <c r="G353" s="121">
        <v>3.0E7</v>
      </c>
      <c r="H353" s="121"/>
      <c r="K353" s="121">
        <f t="shared" si="1"/>
        <v>30000000</v>
      </c>
      <c r="N353" s="122"/>
      <c r="P353">
        <v>3.0E7</v>
      </c>
      <c r="V353" s="121"/>
    </row>
    <row r="354">
      <c r="A354" s="134"/>
      <c r="D354">
        <v>1000000.0</v>
      </c>
      <c r="G354" s="121">
        <v>1000000.0</v>
      </c>
      <c r="H354" s="121"/>
      <c r="K354" s="121">
        <f t="shared" si="1"/>
        <v>1000000</v>
      </c>
      <c r="N354" s="122"/>
      <c r="P354">
        <v>1000000.0</v>
      </c>
      <c r="V354" s="121"/>
    </row>
    <row r="355">
      <c r="A355" s="134">
        <v>4232500.0</v>
      </c>
      <c r="D355" t="s">
        <v>585</v>
      </c>
      <c r="G355" s="121">
        <v>4232500.0</v>
      </c>
      <c r="H355" s="121"/>
      <c r="K355" s="121">
        <f t="shared" si="1"/>
        <v>4232500</v>
      </c>
      <c r="N355" s="122"/>
      <c r="P355">
        <v>4232500.0</v>
      </c>
      <c r="V355" s="121"/>
    </row>
    <row r="356">
      <c r="A356" s="134">
        <v>1.0E7</v>
      </c>
      <c r="D356" t="s">
        <v>585</v>
      </c>
      <c r="G356" s="121">
        <v>1.0E7</v>
      </c>
      <c r="H356" s="121"/>
      <c r="K356" s="121">
        <f t="shared" si="1"/>
        <v>10000000</v>
      </c>
      <c r="N356" s="122"/>
      <c r="P356">
        <v>1.0E7</v>
      </c>
      <c r="V356" s="121"/>
    </row>
    <row r="357">
      <c r="A357" s="134">
        <v>9200000.0</v>
      </c>
      <c r="D357" t="s">
        <v>585</v>
      </c>
      <c r="G357" s="121">
        <v>9200000.0</v>
      </c>
      <c r="H357" s="121"/>
      <c r="K357" s="121">
        <f t="shared" si="1"/>
        <v>9200000</v>
      </c>
      <c r="N357" s="122"/>
      <c r="P357">
        <v>9200000.0</v>
      </c>
      <c r="V357" s="121"/>
    </row>
    <row r="358">
      <c r="A358" s="134">
        <v>3600000.0</v>
      </c>
      <c r="D358" t="s">
        <v>585</v>
      </c>
      <c r="G358" s="121">
        <v>3600000.0</v>
      </c>
      <c r="H358" s="121"/>
      <c r="K358" s="121">
        <f t="shared" si="1"/>
        <v>3600000</v>
      </c>
      <c r="N358" s="122"/>
      <c r="P358">
        <v>3600000.0</v>
      </c>
      <c r="V358" s="121"/>
    </row>
    <row r="359">
      <c r="A359" s="134"/>
      <c r="D359">
        <v>1.1E7</v>
      </c>
      <c r="G359" s="121">
        <v>1.1E7</v>
      </c>
      <c r="H359" s="121"/>
      <c r="K359" s="121">
        <f t="shared" si="1"/>
        <v>11000000</v>
      </c>
      <c r="N359" s="122"/>
      <c r="P359">
        <v>1.1E7</v>
      </c>
      <c r="V359" s="121"/>
    </row>
    <row r="360">
      <c r="A360" s="134">
        <v>215000.0</v>
      </c>
      <c r="D360" t="s">
        <v>585</v>
      </c>
      <c r="G360" s="121">
        <v>215000.0</v>
      </c>
      <c r="H360" s="121"/>
      <c r="K360" t="str">
        <f t="shared" si="1"/>
        <v/>
      </c>
      <c r="N360" s="122"/>
      <c r="P360" t="s">
        <v>585</v>
      </c>
      <c r="V360" s="121"/>
    </row>
    <row r="361">
      <c r="A361" s="134">
        <v>4955781.0</v>
      </c>
      <c r="D361" t="s">
        <v>585</v>
      </c>
      <c r="G361" s="121">
        <v>4955781.0</v>
      </c>
      <c r="H361" s="121"/>
      <c r="K361" s="121">
        <f t="shared" si="1"/>
        <v>4955781</v>
      </c>
      <c r="N361" s="122"/>
      <c r="P361">
        <v>4955781.0</v>
      </c>
      <c r="V361" s="121"/>
    </row>
    <row r="362">
      <c r="A362" s="134"/>
      <c r="D362">
        <v>1.0E7</v>
      </c>
      <c r="G362" s="121">
        <v>1.0E7</v>
      </c>
      <c r="H362" s="121"/>
      <c r="K362" s="121">
        <f t="shared" si="1"/>
        <v>10000000</v>
      </c>
      <c r="N362" s="122"/>
      <c r="P362">
        <v>1.0E7</v>
      </c>
      <c r="V362" s="121"/>
    </row>
    <row r="363">
      <c r="A363" s="134"/>
      <c r="D363">
        <v>1.475E7</v>
      </c>
      <c r="G363" s="121">
        <v>1.475E7</v>
      </c>
      <c r="H363" s="121"/>
      <c r="K363" s="121">
        <f t="shared" si="1"/>
        <v>14750000</v>
      </c>
      <c r="N363" s="122"/>
      <c r="P363">
        <v>1.475E7</v>
      </c>
      <c r="V363" s="121"/>
    </row>
    <row r="364">
      <c r="A364" s="134"/>
      <c r="D364">
        <v>9000000.0</v>
      </c>
      <c r="G364" s="121">
        <v>9000000.0</v>
      </c>
      <c r="H364" s="121"/>
      <c r="K364" s="121">
        <f t="shared" si="1"/>
        <v>9000000</v>
      </c>
      <c r="N364" s="122"/>
      <c r="P364">
        <v>9000000.0</v>
      </c>
      <c r="V364" s="121"/>
    </row>
    <row r="365">
      <c r="A365" s="134"/>
      <c r="D365">
        <v>1.0E7</v>
      </c>
      <c r="G365" s="121">
        <v>1.0E7</v>
      </c>
      <c r="H365" s="121"/>
      <c r="K365" s="121">
        <f t="shared" si="1"/>
        <v>10000000</v>
      </c>
      <c r="N365" s="122"/>
      <c r="P365">
        <v>1.0E7</v>
      </c>
      <c r="V365" s="121"/>
    </row>
    <row r="366">
      <c r="A366" s="134"/>
      <c r="D366">
        <v>1.2E7</v>
      </c>
      <c r="G366" s="121">
        <v>1.2E7</v>
      </c>
      <c r="H366" s="121"/>
      <c r="K366" s="121">
        <f t="shared" si="1"/>
        <v>12000000</v>
      </c>
      <c r="N366" s="122"/>
      <c r="P366">
        <v>1.2E7</v>
      </c>
      <c r="V366" s="121"/>
    </row>
    <row r="367">
      <c r="A367" s="134">
        <v>100000.0</v>
      </c>
      <c r="D367" t="s">
        <v>585</v>
      </c>
      <c r="G367" s="121">
        <v>100000.0</v>
      </c>
      <c r="H367" s="121"/>
      <c r="K367" t="str">
        <f t="shared" si="1"/>
        <v/>
      </c>
      <c r="N367" s="122"/>
      <c r="P367" t="s">
        <v>585</v>
      </c>
      <c r="V367" s="121"/>
    </row>
    <row r="368">
      <c r="A368" s="134">
        <v>5984000.0</v>
      </c>
      <c r="D368" t="s">
        <v>585</v>
      </c>
      <c r="G368" s="121">
        <v>5984000.0</v>
      </c>
      <c r="H368" s="121"/>
      <c r="K368" s="121">
        <f t="shared" si="1"/>
        <v>5984000</v>
      </c>
      <c r="N368" s="122"/>
      <c r="P368">
        <v>5984000.0</v>
      </c>
      <c r="V368" s="121"/>
    </row>
    <row r="369">
      <c r="A369" s="134"/>
      <c r="D369">
        <v>4000000.0</v>
      </c>
      <c r="G369" s="121">
        <v>4000000.0</v>
      </c>
      <c r="H369" s="121"/>
      <c r="K369" s="121">
        <f t="shared" si="1"/>
        <v>4000000</v>
      </c>
      <c r="N369" s="122"/>
      <c r="P369">
        <v>4000000.0</v>
      </c>
      <c r="V369" s="121"/>
    </row>
    <row r="370">
      <c r="A370" s="134">
        <v>3900000.0</v>
      </c>
      <c r="D370" t="s">
        <v>585</v>
      </c>
      <c r="G370" s="121">
        <v>3900000.0</v>
      </c>
      <c r="H370" s="121"/>
      <c r="K370" s="121">
        <f t="shared" si="1"/>
        <v>3900000</v>
      </c>
      <c r="N370" s="122"/>
      <c r="P370">
        <v>3900000.0</v>
      </c>
      <c r="V370" s="121"/>
    </row>
    <row r="371">
      <c r="A371" s="134">
        <v>1250000.0</v>
      </c>
      <c r="D371" t="s">
        <v>585</v>
      </c>
      <c r="G371" s="121">
        <v>1250000.0</v>
      </c>
      <c r="H371" s="121"/>
      <c r="K371" s="121">
        <f t="shared" si="1"/>
        <v>1250000</v>
      </c>
      <c r="N371" s="122"/>
      <c r="P371">
        <v>1250000.0</v>
      </c>
      <c r="V371" s="121"/>
    </row>
    <row r="372">
      <c r="A372" s="134"/>
      <c r="D372">
        <v>2.4E7</v>
      </c>
      <c r="G372" s="121">
        <v>2.4E7</v>
      </c>
      <c r="H372" s="121"/>
      <c r="K372" s="121">
        <f t="shared" si="1"/>
        <v>24000000</v>
      </c>
      <c r="N372" s="122"/>
      <c r="P372">
        <v>2.4E7</v>
      </c>
      <c r="V372" s="121"/>
    </row>
    <row r="373">
      <c r="A373" s="134">
        <v>1.0E7</v>
      </c>
      <c r="D373" t="s">
        <v>585</v>
      </c>
      <c r="G373" s="121">
        <v>1.0E7</v>
      </c>
      <c r="H373" s="121"/>
      <c r="K373" s="121">
        <f t="shared" si="1"/>
        <v>10000000</v>
      </c>
      <c r="N373" s="122"/>
      <c r="P373">
        <v>1.0E7</v>
      </c>
      <c r="V373" s="121"/>
    </row>
    <row r="374">
      <c r="A374" s="134"/>
      <c r="D374">
        <v>1600000.0</v>
      </c>
      <c r="G374" s="121">
        <v>1600000.0</v>
      </c>
      <c r="H374" s="121"/>
      <c r="K374" s="121">
        <f t="shared" si="1"/>
        <v>1600000</v>
      </c>
      <c r="N374" s="122"/>
      <c r="P374">
        <v>1600000.0</v>
      </c>
      <c r="V374" s="121"/>
    </row>
    <row r="375">
      <c r="A375" s="134"/>
      <c r="D375">
        <v>750000.0</v>
      </c>
      <c r="G375" s="121">
        <v>750000.0</v>
      </c>
      <c r="H375" s="121"/>
      <c r="K375" s="121">
        <f t="shared" si="1"/>
        <v>750000</v>
      </c>
      <c r="N375" s="122"/>
      <c r="P375">
        <v>750000.0</v>
      </c>
      <c r="V375" s="121"/>
    </row>
    <row r="376">
      <c r="A376" s="134"/>
      <c r="D376">
        <v>3600000.0</v>
      </c>
      <c r="G376" s="121">
        <v>3600000.0</v>
      </c>
      <c r="H376" s="121"/>
      <c r="K376" s="121">
        <f t="shared" si="1"/>
        <v>3600000</v>
      </c>
      <c r="N376" s="122"/>
      <c r="P376">
        <v>3600000.0</v>
      </c>
      <c r="V376" s="121"/>
    </row>
    <row r="377">
      <c r="A377" s="134"/>
      <c r="D377">
        <v>8000000.0</v>
      </c>
      <c r="G377" s="121">
        <v>8000000.0</v>
      </c>
      <c r="H377" s="121"/>
      <c r="K377" s="121">
        <f t="shared" si="1"/>
        <v>8000000</v>
      </c>
      <c r="N377" s="122"/>
      <c r="P377">
        <v>8000000.0</v>
      </c>
      <c r="V377" s="121"/>
    </row>
    <row r="378">
      <c r="A378" s="134">
        <v>2000000.0</v>
      </c>
      <c r="D378" t="s">
        <v>585</v>
      </c>
      <c r="G378" s="121">
        <v>2000000.0</v>
      </c>
      <c r="H378" s="121"/>
      <c r="K378" s="121">
        <f t="shared" si="1"/>
        <v>2000000</v>
      </c>
      <c r="N378" s="122"/>
      <c r="P378">
        <v>2000000.0</v>
      </c>
      <c r="V378" s="121"/>
    </row>
    <row r="379">
      <c r="A379" s="134"/>
      <c r="D379">
        <v>580000.0</v>
      </c>
      <c r="G379" s="121">
        <v>580000.0</v>
      </c>
      <c r="H379" s="121"/>
      <c r="K379" s="121">
        <f t="shared" si="1"/>
        <v>580000</v>
      </c>
      <c r="N379" s="122"/>
      <c r="P379">
        <v>580000.0</v>
      </c>
      <c r="V379" s="121"/>
    </row>
    <row r="380">
      <c r="A380" s="134">
        <v>1.6E7</v>
      </c>
      <c r="D380" t="s">
        <v>585</v>
      </c>
      <c r="G380" s="121">
        <v>1.6E7</v>
      </c>
      <c r="H380" s="121"/>
      <c r="K380" s="121">
        <f t="shared" si="1"/>
        <v>16000000</v>
      </c>
      <c r="N380" s="122"/>
      <c r="P380">
        <v>1.6E7</v>
      </c>
      <c r="V380" s="121"/>
    </row>
    <row r="381">
      <c r="A381" s="134"/>
      <c r="D381">
        <v>1.0E7</v>
      </c>
      <c r="G381" s="121">
        <v>1.0E7</v>
      </c>
      <c r="H381" s="121"/>
      <c r="K381" s="121">
        <f t="shared" si="1"/>
        <v>10000000</v>
      </c>
      <c r="N381" s="122"/>
      <c r="P381">
        <v>1.0E7</v>
      </c>
      <c r="V381" s="121"/>
    </row>
    <row r="382">
      <c r="A382" s="134"/>
      <c r="D382">
        <v>6800000.0</v>
      </c>
      <c r="G382" s="121">
        <v>6800000.0</v>
      </c>
      <c r="H382" s="121"/>
      <c r="K382" s="121">
        <f t="shared" si="1"/>
        <v>6800000</v>
      </c>
      <c r="N382" s="122"/>
      <c r="P382">
        <v>6800000.0</v>
      </c>
      <c r="V382" s="121"/>
    </row>
    <row r="383">
      <c r="A383" s="134">
        <v>3745000.0</v>
      </c>
      <c r="D383" t="s">
        <v>585</v>
      </c>
      <c r="G383" s="121">
        <v>3745000.0</v>
      </c>
      <c r="H383" s="121"/>
      <c r="K383" s="121">
        <f t="shared" si="1"/>
        <v>3745000</v>
      </c>
      <c r="N383" s="122"/>
      <c r="P383">
        <v>3745000.0</v>
      </c>
      <c r="V383" s="121"/>
    </row>
    <row r="384">
      <c r="A384" s="134">
        <v>3.4108515E7</v>
      </c>
      <c r="D384" t="s">
        <v>585</v>
      </c>
      <c r="G384" s="121">
        <v>3.4108515E7</v>
      </c>
      <c r="H384" s="121"/>
      <c r="K384" s="121">
        <f t="shared" si="1"/>
        <v>34108515</v>
      </c>
      <c r="N384" s="122"/>
      <c r="P384">
        <v>3.4108515E7</v>
      </c>
      <c r="V384" s="121"/>
    </row>
    <row r="385">
      <c r="A385" s="134">
        <v>2800000.0</v>
      </c>
      <c r="D385" t="s">
        <v>585</v>
      </c>
      <c r="G385" s="121">
        <v>2800000.0</v>
      </c>
      <c r="H385" s="121"/>
      <c r="K385" s="121">
        <f t="shared" si="1"/>
        <v>2800000</v>
      </c>
      <c r="N385" s="122"/>
      <c r="P385">
        <v>2800000.0</v>
      </c>
      <c r="V385" s="121"/>
    </row>
    <row r="386">
      <c r="A386" s="134"/>
      <c r="D386">
        <v>6750000.0</v>
      </c>
      <c r="G386" s="121">
        <v>6750000.0</v>
      </c>
      <c r="H386" s="121"/>
      <c r="K386" s="121">
        <f t="shared" si="1"/>
        <v>6750000</v>
      </c>
      <c r="N386" s="122"/>
      <c r="P386">
        <v>6750000.0</v>
      </c>
      <c r="V386" s="121"/>
    </row>
    <row r="387">
      <c r="A387" s="134">
        <v>5400000.0</v>
      </c>
      <c r="D387" t="s">
        <v>585</v>
      </c>
      <c r="G387" s="121">
        <v>5400000.0</v>
      </c>
      <c r="H387" s="121"/>
      <c r="K387" s="121">
        <f t="shared" si="1"/>
        <v>5400000</v>
      </c>
      <c r="N387" s="122"/>
      <c r="P387">
        <v>5400000.0</v>
      </c>
      <c r="V387" s="121"/>
    </row>
    <row r="388">
      <c r="A388" s="134">
        <v>2000000.0</v>
      </c>
      <c r="D388" t="s">
        <v>585</v>
      </c>
      <c r="G388" s="121">
        <v>2000000.0</v>
      </c>
      <c r="H388" s="121"/>
      <c r="K388" s="121">
        <f t="shared" si="1"/>
        <v>2000000</v>
      </c>
      <c r="N388" s="122"/>
      <c r="P388">
        <v>2000000.0</v>
      </c>
      <c r="V388" s="121"/>
    </row>
    <row r="389">
      <c r="A389" s="134"/>
      <c r="D389">
        <v>2000000.0</v>
      </c>
      <c r="G389" s="121">
        <v>2000000.0</v>
      </c>
      <c r="H389" s="121"/>
      <c r="K389" s="121">
        <f t="shared" si="1"/>
        <v>2000000</v>
      </c>
      <c r="N389" s="122"/>
      <c r="P389">
        <v>2000000.0</v>
      </c>
      <c r="V389" s="121"/>
    </row>
    <row r="390">
      <c r="A390" s="134"/>
      <c r="D390">
        <v>6400000.0</v>
      </c>
      <c r="G390" s="121">
        <v>6400000.0</v>
      </c>
      <c r="H390" s="121"/>
      <c r="K390" s="121">
        <f t="shared" si="1"/>
        <v>6400000</v>
      </c>
      <c r="N390" s="122"/>
      <c r="P390">
        <v>6400000.0</v>
      </c>
      <c r="V390" s="121"/>
    </row>
    <row r="391">
      <c r="A391" s="134">
        <v>4500000.0</v>
      </c>
      <c r="D391" t="s">
        <v>585</v>
      </c>
      <c r="G391" s="121">
        <v>4500000.0</v>
      </c>
      <c r="H391" s="121"/>
      <c r="K391" s="121">
        <f t="shared" si="1"/>
        <v>4500000</v>
      </c>
      <c r="N391" s="122"/>
      <c r="P391">
        <v>4500000.0</v>
      </c>
      <c r="V391" s="121"/>
    </row>
    <row r="392">
      <c r="A392" s="134">
        <v>4000000.0</v>
      </c>
      <c r="D392" t="s">
        <v>585</v>
      </c>
      <c r="G392" s="121">
        <v>4000000.0</v>
      </c>
      <c r="H392" s="121"/>
      <c r="K392" s="121">
        <f t="shared" si="1"/>
        <v>4000000</v>
      </c>
      <c r="N392" s="122"/>
      <c r="P392">
        <v>4000000.0</v>
      </c>
      <c r="V392" s="121"/>
    </row>
    <row r="393">
      <c r="A393" s="134"/>
      <c r="D393">
        <v>1600000.0</v>
      </c>
      <c r="G393" s="121">
        <v>1600000.0</v>
      </c>
      <c r="H393" s="121"/>
      <c r="K393" s="121">
        <f t="shared" si="1"/>
        <v>1600000</v>
      </c>
      <c r="N393" s="122"/>
      <c r="P393">
        <v>1600000.0</v>
      </c>
      <c r="V393" s="121"/>
    </row>
    <row r="394">
      <c r="A394" s="134"/>
      <c r="D394">
        <v>6400000.0</v>
      </c>
      <c r="G394" s="121">
        <v>6400000.0</v>
      </c>
      <c r="H394" s="121"/>
      <c r="K394" s="121">
        <f t="shared" si="1"/>
        <v>6400000</v>
      </c>
      <c r="N394" s="122"/>
      <c r="P394">
        <v>6400000.0</v>
      </c>
      <c r="V394" s="121"/>
    </row>
    <row r="395">
      <c r="A395" s="134"/>
      <c r="D395">
        <v>800000.0</v>
      </c>
      <c r="G395" s="121">
        <v>800000.0</v>
      </c>
      <c r="H395" s="121"/>
      <c r="K395" s="121">
        <f t="shared" si="1"/>
        <v>800000</v>
      </c>
      <c r="N395" s="122"/>
      <c r="P395">
        <v>800000.0</v>
      </c>
      <c r="V395" s="121"/>
    </row>
    <row r="396">
      <c r="A396" s="134"/>
      <c r="D396">
        <v>5310000.0</v>
      </c>
      <c r="G396" s="121">
        <v>5310000.0</v>
      </c>
      <c r="H396" s="121"/>
      <c r="K396" s="121">
        <f t="shared" si="1"/>
        <v>5310000</v>
      </c>
      <c r="N396" s="122"/>
      <c r="P396">
        <v>5310000.0</v>
      </c>
      <c r="V396" s="121"/>
    </row>
    <row r="397">
      <c r="A397" s="134"/>
      <c r="D397">
        <v>2500000.0</v>
      </c>
      <c r="G397" s="121">
        <v>2500000.0</v>
      </c>
      <c r="H397" s="121"/>
      <c r="K397" s="121">
        <f t="shared" si="1"/>
        <v>2500000</v>
      </c>
      <c r="N397" s="122"/>
      <c r="P397">
        <v>2500000.0</v>
      </c>
      <c r="V397" s="121"/>
    </row>
    <row r="398">
      <c r="A398" s="134"/>
      <c r="D398">
        <v>2800000.0</v>
      </c>
      <c r="G398" s="121">
        <v>2800000.0</v>
      </c>
      <c r="H398" s="121"/>
      <c r="K398" s="121">
        <f t="shared" si="1"/>
        <v>2800000</v>
      </c>
      <c r="N398" s="122"/>
      <c r="P398">
        <v>2800000.0</v>
      </c>
      <c r="V398" s="121"/>
    </row>
    <row r="399">
      <c r="A399" s="134"/>
      <c r="D399">
        <v>5400000.0</v>
      </c>
      <c r="G399" s="121">
        <v>5400000.0</v>
      </c>
      <c r="H399" s="121"/>
      <c r="K399" s="121">
        <f t="shared" si="1"/>
        <v>5400000</v>
      </c>
      <c r="N399" s="122"/>
      <c r="P399">
        <v>5400000.0</v>
      </c>
      <c r="V399" s="121"/>
    </row>
    <row r="400">
      <c r="A400" s="134">
        <v>2587500.0</v>
      </c>
      <c r="D400" t="s">
        <v>585</v>
      </c>
      <c r="G400" s="121">
        <v>2587500.0</v>
      </c>
      <c r="H400" s="121"/>
      <c r="K400" s="121">
        <f t="shared" si="1"/>
        <v>2587500</v>
      </c>
      <c r="N400" s="122"/>
      <c r="P400">
        <v>2587500.0</v>
      </c>
      <c r="V400" s="121"/>
    </row>
    <row r="401">
      <c r="A401" s="134"/>
      <c r="D401">
        <v>6000000.0</v>
      </c>
      <c r="G401" s="121">
        <v>6000000.0</v>
      </c>
      <c r="H401" s="121"/>
      <c r="K401" s="121">
        <f t="shared" si="1"/>
        <v>6000000</v>
      </c>
      <c r="N401" s="122"/>
      <c r="P401">
        <v>6000000.0</v>
      </c>
      <c r="V401" s="121"/>
    </row>
    <row r="402">
      <c r="A402" s="134">
        <v>1.1189805E7</v>
      </c>
      <c r="D402" t="s">
        <v>585</v>
      </c>
      <c r="G402" s="121">
        <v>1.1189805E7</v>
      </c>
      <c r="H402" s="121"/>
      <c r="K402" s="121">
        <f t="shared" si="1"/>
        <v>11189805</v>
      </c>
      <c r="N402" s="122"/>
      <c r="P402">
        <v>1.1189805E7</v>
      </c>
      <c r="V402" s="121"/>
    </row>
    <row r="403">
      <c r="A403" s="134"/>
      <c r="D403">
        <v>977500.0</v>
      </c>
      <c r="G403" s="121">
        <v>977500.0</v>
      </c>
      <c r="H403" s="121"/>
      <c r="K403" s="121">
        <f t="shared" si="1"/>
        <v>977500</v>
      </c>
      <c r="N403" s="122"/>
      <c r="P403">
        <v>977500.0</v>
      </c>
      <c r="V403" s="121"/>
    </row>
    <row r="404">
      <c r="A404" s="134"/>
      <c r="D404">
        <v>4000000.0</v>
      </c>
      <c r="G404" s="121">
        <v>4000000.0</v>
      </c>
      <c r="H404" s="121"/>
      <c r="K404" s="121">
        <f t="shared" si="1"/>
        <v>4000000</v>
      </c>
      <c r="N404" s="122"/>
      <c r="P404">
        <v>4000000.0</v>
      </c>
      <c r="V404" s="121"/>
    </row>
    <row r="405">
      <c r="A405" s="134">
        <v>4054000.0</v>
      </c>
      <c r="D405" t="s">
        <v>585</v>
      </c>
      <c r="G405" s="121">
        <v>4054000.0</v>
      </c>
      <c r="H405" s="121"/>
      <c r="K405" s="121">
        <f t="shared" si="1"/>
        <v>4054000</v>
      </c>
      <c r="N405" s="122"/>
      <c r="P405">
        <v>4054000.0</v>
      </c>
      <c r="V405" s="121"/>
    </row>
    <row r="406">
      <c r="A406" s="134"/>
      <c r="D406">
        <v>2250000.0</v>
      </c>
      <c r="G406" s="121">
        <v>2250000.0</v>
      </c>
      <c r="H406" s="121"/>
      <c r="K406" s="121">
        <f t="shared" si="1"/>
        <v>2250000</v>
      </c>
      <c r="N406" s="122"/>
      <c r="P406">
        <v>2250000.0</v>
      </c>
      <c r="V406" s="121"/>
    </row>
    <row r="407">
      <c r="A407" s="134">
        <v>2400000.0</v>
      </c>
      <c r="D407" t="s">
        <v>585</v>
      </c>
      <c r="G407" s="121">
        <v>2400000.0</v>
      </c>
      <c r="H407" s="121"/>
      <c r="K407" s="121">
        <f t="shared" si="1"/>
        <v>2400000</v>
      </c>
      <c r="N407" s="122"/>
      <c r="P407">
        <v>2400000.0</v>
      </c>
      <c r="V407" s="121"/>
    </row>
    <row r="408">
      <c r="A408" s="134"/>
      <c r="D408">
        <v>760000.0</v>
      </c>
      <c r="G408" s="121">
        <v>760000.0</v>
      </c>
      <c r="H408" s="121"/>
      <c r="K408" s="121">
        <f t="shared" si="1"/>
        <v>760000</v>
      </c>
      <c r="N408" s="122"/>
      <c r="P408">
        <v>760000.0</v>
      </c>
      <c r="V408" s="121"/>
    </row>
    <row r="409">
      <c r="A409" s="134">
        <v>3062871.0</v>
      </c>
      <c r="D409" t="s">
        <v>585</v>
      </c>
      <c r="G409" s="121">
        <v>3062871.0</v>
      </c>
      <c r="H409" s="121"/>
      <c r="K409" s="121">
        <f t="shared" si="1"/>
        <v>3062871</v>
      </c>
      <c r="N409" s="122"/>
      <c r="P409">
        <v>3062871.0</v>
      </c>
      <c r="V409" s="121"/>
    </row>
    <row r="410">
      <c r="A410" s="134">
        <v>5000000.0</v>
      </c>
      <c r="D410" t="s">
        <v>585</v>
      </c>
      <c r="G410" s="121">
        <v>5000000.0</v>
      </c>
      <c r="H410" s="121"/>
      <c r="K410" s="121">
        <f t="shared" si="1"/>
        <v>5000000</v>
      </c>
      <c r="N410" s="122"/>
      <c r="P410">
        <v>5000000.0</v>
      </c>
      <c r="V410" s="121"/>
    </row>
    <row r="411">
      <c r="A411" s="134">
        <v>6561600.0</v>
      </c>
      <c r="D411" t="s">
        <v>585</v>
      </c>
      <c r="G411" s="121">
        <v>6561600.0</v>
      </c>
      <c r="H411" s="121"/>
      <c r="K411" s="121">
        <f t="shared" si="1"/>
        <v>6561600</v>
      </c>
      <c r="N411" s="122"/>
      <c r="P411">
        <v>6561600.0</v>
      </c>
      <c r="V411" s="121"/>
    </row>
    <row r="412">
      <c r="A412" s="134"/>
      <c r="D412">
        <v>3998304.0</v>
      </c>
      <c r="G412" s="121">
        <v>3998304.0</v>
      </c>
      <c r="H412" s="121"/>
      <c r="K412" s="121">
        <f t="shared" si="1"/>
        <v>3998304</v>
      </c>
      <c r="N412" s="122"/>
      <c r="P412">
        <v>3998304.0</v>
      </c>
      <c r="V412" s="121"/>
    </row>
    <row r="413">
      <c r="A413" s="134">
        <v>1.9201088E7</v>
      </c>
      <c r="D413" t="s">
        <v>585</v>
      </c>
      <c r="G413" s="121">
        <v>1.9201088E7</v>
      </c>
      <c r="H413" s="121"/>
      <c r="K413" s="121">
        <f t="shared" si="1"/>
        <v>19201088</v>
      </c>
      <c r="N413" s="122"/>
      <c r="P413">
        <v>1.9201088E7</v>
      </c>
      <c r="V413" s="121"/>
    </row>
    <row r="414">
      <c r="A414" s="134">
        <v>6200000.0</v>
      </c>
      <c r="D414" t="s">
        <v>585</v>
      </c>
      <c r="G414" s="121">
        <v>6200000.0</v>
      </c>
      <c r="H414" s="121"/>
      <c r="K414" s="121">
        <f t="shared" si="1"/>
        <v>6200000</v>
      </c>
      <c r="N414" s="122"/>
      <c r="P414">
        <v>6200000.0</v>
      </c>
      <c r="V414" s="121"/>
    </row>
    <row r="415">
      <c r="A415" s="134"/>
      <c r="D415">
        <v>5000000.0</v>
      </c>
      <c r="G415" s="121">
        <v>5000000.0</v>
      </c>
      <c r="H415" s="121"/>
      <c r="K415" s="121">
        <f t="shared" si="1"/>
        <v>5000000</v>
      </c>
      <c r="N415" s="122"/>
      <c r="P415">
        <v>5000000.0</v>
      </c>
      <c r="V415" s="121"/>
    </row>
    <row r="416">
      <c r="A416" s="134"/>
      <c r="D416">
        <v>1.5E7</v>
      </c>
      <c r="G416" s="121">
        <v>1.5E7</v>
      </c>
      <c r="H416" s="121"/>
      <c r="K416" s="121">
        <f t="shared" si="1"/>
        <v>15000000</v>
      </c>
      <c r="N416" s="122"/>
      <c r="P416">
        <v>1.5E7</v>
      </c>
      <c r="V416" s="121"/>
    </row>
    <row r="417">
      <c r="A417" s="134"/>
      <c r="D417">
        <v>3960000.0</v>
      </c>
      <c r="G417" s="121">
        <v>3960000.0</v>
      </c>
      <c r="H417" s="121"/>
      <c r="K417" s="121">
        <f t="shared" si="1"/>
        <v>3960000</v>
      </c>
      <c r="N417" s="122"/>
      <c r="P417">
        <v>3960000.0</v>
      </c>
      <c r="V417" s="121"/>
    </row>
    <row r="418">
      <c r="A418" s="134"/>
      <c r="D418">
        <v>2000000.0</v>
      </c>
      <c r="G418" s="121">
        <v>2000000.0</v>
      </c>
      <c r="H418" s="121"/>
      <c r="K418" s="121">
        <f t="shared" si="1"/>
        <v>2000000</v>
      </c>
      <c r="N418" s="122"/>
      <c r="P418">
        <v>2000000.0</v>
      </c>
      <c r="V418" s="121"/>
    </row>
    <row r="419">
      <c r="A419" s="134">
        <v>5000000.0</v>
      </c>
      <c r="D419" t="s">
        <v>585</v>
      </c>
      <c r="G419" s="121">
        <v>5000000.0</v>
      </c>
      <c r="H419" s="121"/>
      <c r="K419" s="121">
        <f t="shared" si="1"/>
        <v>5000000</v>
      </c>
      <c r="N419" s="122"/>
      <c r="P419">
        <v>5000000.0</v>
      </c>
      <c r="V419" s="121"/>
    </row>
    <row r="420">
      <c r="A420" s="134">
        <v>1.9621196E7</v>
      </c>
      <c r="D420" t="s">
        <v>585</v>
      </c>
      <c r="G420" s="121">
        <v>1.9621196E7</v>
      </c>
      <c r="H420" s="121"/>
      <c r="K420" s="121">
        <f t="shared" si="1"/>
        <v>19621196</v>
      </c>
      <c r="N420" s="122"/>
      <c r="P420">
        <v>1.9621196E7</v>
      </c>
      <c r="V420" s="121"/>
    </row>
    <row r="421">
      <c r="A421" s="134"/>
      <c r="D421">
        <v>3200000.0</v>
      </c>
      <c r="G421" s="121">
        <v>3200000.0</v>
      </c>
      <c r="H421" s="121"/>
      <c r="K421" s="121">
        <f t="shared" si="1"/>
        <v>3200000</v>
      </c>
      <c r="N421" s="122"/>
      <c r="P421">
        <v>3200000.0</v>
      </c>
      <c r="V421" s="121"/>
    </row>
    <row r="422">
      <c r="A422" s="134"/>
      <c r="D422">
        <v>7920000.0</v>
      </c>
      <c r="G422" s="121">
        <v>7920000.0</v>
      </c>
      <c r="H422" s="121"/>
      <c r="K422" s="121">
        <f t="shared" si="1"/>
        <v>7920000</v>
      </c>
      <c r="N422" s="122"/>
      <c r="P422">
        <v>7920000.0</v>
      </c>
      <c r="V422" s="121"/>
    </row>
    <row r="423">
      <c r="A423" s="134"/>
      <c r="D423">
        <v>4000000.0</v>
      </c>
      <c r="G423" s="121">
        <v>4000000.0</v>
      </c>
      <c r="H423" s="121"/>
      <c r="K423" s="121">
        <f t="shared" si="1"/>
        <v>4000000</v>
      </c>
      <c r="N423" s="122"/>
      <c r="P423">
        <v>4000000.0</v>
      </c>
      <c r="V423" s="121"/>
    </row>
    <row r="424">
      <c r="A424" s="134"/>
      <c r="D424">
        <v>6000000.0</v>
      </c>
      <c r="G424" s="121">
        <v>6000000.0</v>
      </c>
      <c r="H424" s="121"/>
      <c r="K424" s="121">
        <f t="shared" si="1"/>
        <v>6000000</v>
      </c>
      <c r="N424" s="122"/>
      <c r="P424">
        <v>6000000.0</v>
      </c>
      <c r="V424" s="121"/>
    </row>
    <row r="425">
      <c r="A425" s="134">
        <v>1.5E7</v>
      </c>
      <c r="D425" t="s">
        <v>585</v>
      </c>
      <c r="G425" s="121">
        <v>1.5E7</v>
      </c>
      <c r="H425" s="121"/>
      <c r="K425" s="121">
        <f t="shared" si="1"/>
        <v>15000000</v>
      </c>
      <c r="N425" s="122"/>
      <c r="P425">
        <v>1.5E7</v>
      </c>
      <c r="V425" s="121"/>
    </row>
    <row r="426">
      <c r="A426" s="134">
        <v>1.76E7</v>
      </c>
      <c r="D426" t="s">
        <v>585</v>
      </c>
      <c r="G426" s="121">
        <v>1.76E7</v>
      </c>
      <c r="H426" s="121"/>
      <c r="K426" s="121">
        <f t="shared" si="1"/>
        <v>17600000</v>
      </c>
      <c r="N426" s="122"/>
      <c r="P426">
        <v>1.76E7</v>
      </c>
      <c r="V426" s="121"/>
    </row>
    <row r="427">
      <c r="A427" s="134"/>
      <c r="D427">
        <v>3600000.0</v>
      </c>
      <c r="G427" s="121">
        <v>3600000.0</v>
      </c>
      <c r="H427" s="121"/>
      <c r="K427" s="121">
        <f t="shared" si="1"/>
        <v>3600000</v>
      </c>
      <c r="N427" s="122"/>
      <c r="P427">
        <v>3600000.0</v>
      </c>
      <c r="V427" s="121"/>
    </row>
    <row r="428">
      <c r="A428" s="134">
        <v>5040000.0</v>
      </c>
      <c r="D428" t="s">
        <v>585</v>
      </c>
      <c r="G428" s="121">
        <v>5040000.0</v>
      </c>
      <c r="H428" s="121"/>
      <c r="K428" s="121">
        <f t="shared" si="1"/>
        <v>5040000</v>
      </c>
      <c r="N428" s="122"/>
      <c r="P428">
        <v>5040000.0</v>
      </c>
      <c r="V428" s="121"/>
    </row>
    <row r="429">
      <c r="A429" s="134">
        <v>6000000.0</v>
      </c>
      <c r="D429" t="s">
        <v>585</v>
      </c>
      <c r="G429" s="121">
        <v>6000000.0</v>
      </c>
      <c r="H429" s="121"/>
      <c r="K429" s="121">
        <f t="shared" si="1"/>
        <v>6000000</v>
      </c>
      <c r="N429" s="122"/>
      <c r="P429">
        <v>6000000.0</v>
      </c>
      <c r="V429" s="121"/>
    </row>
    <row r="430">
      <c r="A430" s="134">
        <v>7504410.0</v>
      </c>
      <c r="D430" t="s">
        <v>585</v>
      </c>
      <c r="G430" s="121">
        <v>7504410.0</v>
      </c>
      <c r="H430" s="121"/>
      <c r="K430" s="121">
        <f t="shared" si="1"/>
        <v>7504410</v>
      </c>
      <c r="N430" s="122"/>
      <c r="P430">
        <v>7504410.0</v>
      </c>
      <c r="V430" s="121"/>
    </row>
    <row r="431">
      <c r="A431" s="134">
        <v>1.4029817E7</v>
      </c>
      <c r="D431" t="s">
        <v>585</v>
      </c>
      <c r="G431" s="121">
        <v>1.4029817E7</v>
      </c>
      <c r="H431" s="121"/>
      <c r="K431" s="121">
        <f t="shared" si="1"/>
        <v>14029817</v>
      </c>
      <c r="N431" s="122"/>
      <c r="P431">
        <v>1.4029817E7</v>
      </c>
      <c r="V431" s="121"/>
    </row>
    <row r="432">
      <c r="A432" s="134">
        <v>2400000.0</v>
      </c>
      <c r="D432" t="s">
        <v>585</v>
      </c>
      <c r="G432" s="121">
        <v>2400000.0</v>
      </c>
      <c r="H432" s="121"/>
      <c r="K432" s="121">
        <f t="shared" si="1"/>
        <v>2400000</v>
      </c>
      <c r="N432" s="122"/>
      <c r="P432">
        <v>2400000.0</v>
      </c>
      <c r="V432" s="121"/>
    </row>
    <row r="433">
      <c r="A433" s="134">
        <v>1.0E7</v>
      </c>
      <c r="D433" t="s">
        <v>585</v>
      </c>
      <c r="G433" s="121">
        <v>1.0E7</v>
      </c>
      <c r="H433" s="121"/>
      <c r="K433" s="121">
        <f t="shared" si="1"/>
        <v>10000000</v>
      </c>
      <c r="N433" s="122"/>
      <c r="P433">
        <v>1.0E7</v>
      </c>
      <c r="V433" s="121"/>
    </row>
    <row r="434">
      <c r="A434" s="134">
        <v>3.3995244E7</v>
      </c>
      <c r="D434" t="s">
        <v>585</v>
      </c>
      <c r="G434" s="121">
        <v>3.3995244E7</v>
      </c>
      <c r="H434" s="121"/>
      <c r="K434" s="121">
        <f t="shared" si="1"/>
        <v>33995244</v>
      </c>
      <c r="N434" s="122"/>
      <c r="P434">
        <v>3.3995244E7</v>
      </c>
      <c r="V434" s="121"/>
    </row>
    <row r="435">
      <c r="A435" s="134">
        <v>1.24E7</v>
      </c>
      <c r="D435" t="s">
        <v>585</v>
      </c>
      <c r="G435" s="121">
        <v>1.24E7</v>
      </c>
      <c r="H435" s="121"/>
      <c r="K435" s="121">
        <f t="shared" si="1"/>
        <v>12400000</v>
      </c>
      <c r="N435" s="122"/>
      <c r="P435">
        <v>1.24E7</v>
      </c>
      <c r="V435" s="121"/>
    </row>
    <row r="436">
      <c r="A436" s="134">
        <v>8000000.0</v>
      </c>
      <c r="D436" t="s">
        <v>585</v>
      </c>
      <c r="G436" s="121">
        <v>8000000.0</v>
      </c>
      <c r="H436" s="121"/>
      <c r="K436" s="121">
        <f t="shared" si="1"/>
        <v>8000000</v>
      </c>
      <c r="N436" s="122"/>
      <c r="P436">
        <v>8000000.0</v>
      </c>
      <c r="V436" s="121"/>
    </row>
    <row r="437">
      <c r="A437" s="134"/>
      <c r="D437">
        <v>3200000.0</v>
      </c>
      <c r="G437" s="121">
        <v>3200000.0</v>
      </c>
      <c r="H437" s="121"/>
      <c r="K437" s="121">
        <f t="shared" si="1"/>
        <v>3200000</v>
      </c>
      <c r="N437" s="122"/>
      <c r="P437">
        <v>3200000.0</v>
      </c>
      <c r="V437" s="121"/>
    </row>
    <row r="438">
      <c r="A438" s="134">
        <v>3000000.0</v>
      </c>
      <c r="D438" t="s">
        <v>585</v>
      </c>
      <c r="G438" s="121">
        <v>3000000.0</v>
      </c>
      <c r="H438" s="121"/>
      <c r="K438" s="121">
        <f t="shared" si="1"/>
        <v>3000000</v>
      </c>
      <c r="N438" s="122"/>
      <c r="P438">
        <v>3000000.0</v>
      </c>
      <c r="V438" s="121"/>
    </row>
    <row r="439">
      <c r="A439" s="134"/>
      <c r="D439">
        <v>9600000.0</v>
      </c>
      <c r="G439" s="121">
        <v>9600000.0</v>
      </c>
      <c r="H439" s="121"/>
      <c r="K439" s="121">
        <f t="shared" si="1"/>
        <v>9600000</v>
      </c>
      <c r="N439" s="122"/>
      <c r="P439">
        <v>9600000.0</v>
      </c>
      <c r="V439" s="121"/>
    </row>
    <row r="440">
      <c r="A440" s="134">
        <v>1730000.0</v>
      </c>
      <c r="D440" t="s">
        <v>585</v>
      </c>
      <c r="G440" s="121">
        <v>1730000.0</v>
      </c>
      <c r="H440" s="121"/>
      <c r="K440" s="121">
        <f t="shared" si="1"/>
        <v>1730000</v>
      </c>
      <c r="N440" s="122"/>
      <c r="P440">
        <v>1730000.0</v>
      </c>
      <c r="V440" s="121"/>
    </row>
    <row r="441">
      <c r="A441" s="134">
        <v>8930000.0</v>
      </c>
      <c r="D441" t="s">
        <v>585</v>
      </c>
      <c r="G441" s="121">
        <v>8930000.0</v>
      </c>
      <c r="H441" s="121"/>
      <c r="K441" s="121">
        <f t="shared" si="1"/>
        <v>8930000</v>
      </c>
      <c r="N441" s="122"/>
      <c r="P441">
        <v>8930000.0</v>
      </c>
      <c r="V441" s="121"/>
    </row>
    <row r="442">
      <c r="A442" s="134">
        <v>6051033.0</v>
      </c>
      <c r="D442" t="s">
        <v>585</v>
      </c>
      <c r="G442" s="121">
        <v>6051033.0</v>
      </c>
      <c r="H442" s="121"/>
      <c r="K442" s="121">
        <f t="shared" si="1"/>
        <v>6051033</v>
      </c>
      <c r="N442" s="122"/>
      <c r="P442">
        <v>6051033.0</v>
      </c>
      <c r="V442" s="121"/>
    </row>
    <row r="443">
      <c r="A443" s="134">
        <v>4961250.0</v>
      </c>
      <c r="D443" t="s">
        <v>585</v>
      </c>
      <c r="G443" s="121">
        <v>4961250.0</v>
      </c>
      <c r="H443" s="121"/>
      <c r="K443" s="121">
        <f t="shared" si="1"/>
        <v>4961250</v>
      </c>
      <c r="N443" s="122"/>
      <c r="P443">
        <v>4961250.0</v>
      </c>
      <c r="V443" s="121"/>
    </row>
    <row r="444">
      <c r="A444" s="134">
        <v>5000000.0</v>
      </c>
      <c r="D444" t="s">
        <v>585</v>
      </c>
      <c r="G444" s="121">
        <v>5000000.0</v>
      </c>
      <c r="H444" s="121"/>
      <c r="K444" s="121">
        <f t="shared" si="1"/>
        <v>5000000</v>
      </c>
      <c r="N444" s="122"/>
      <c r="P444">
        <v>5000000.0</v>
      </c>
      <c r="V444" s="121"/>
    </row>
    <row r="445">
      <c r="A445" s="134">
        <v>1.0715E7</v>
      </c>
      <c r="D445" t="s">
        <v>585</v>
      </c>
      <c r="G445" s="121">
        <v>1.0715E7</v>
      </c>
      <c r="H445" s="121"/>
      <c r="K445" s="121">
        <f t="shared" si="1"/>
        <v>10715000</v>
      </c>
      <c r="N445" s="122"/>
      <c r="P445">
        <v>1.0715E7</v>
      </c>
      <c r="V445" s="121"/>
    </row>
    <row r="446">
      <c r="A446" s="134"/>
      <c r="D446">
        <v>4500000.0</v>
      </c>
      <c r="G446" s="121">
        <v>4500000.0</v>
      </c>
      <c r="H446" s="121"/>
      <c r="K446" s="121">
        <f t="shared" si="1"/>
        <v>4500000</v>
      </c>
      <c r="N446" s="122"/>
      <c r="P446">
        <v>4500000.0</v>
      </c>
      <c r="V446" s="121"/>
    </row>
    <row r="447">
      <c r="A447" s="134"/>
      <c r="D447">
        <v>4250000.0</v>
      </c>
      <c r="G447" s="121">
        <v>4250000.0</v>
      </c>
      <c r="H447" s="121"/>
      <c r="K447" s="121">
        <f t="shared" si="1"/>
        <v>4250000</v>
      </c>
      <c r="N447" s="122"/>
      <c r="P447">
        <v>4250000.0</v>
      </c>
      <c r="V447" s="121"/>
    </row>
    <row r="448">
      <c r="A448" s="134"/>
      <c r="D448">
        <v>4000000.0</v>
      </c>
      <c r="G448" s="121">
        <v>4000000.0</v>
      </c>
      <c r="H448" s="121"/>
      <c r="K448" s="121">
        <f t="shared" si="1"/>
        <v>4000000</v>
      </c>
      <c r="N448" s="122"/>
      <c r="P448">
        <v>4000000.0</v>
      </c>
      <c r="V448" s="121"/>
    </row>
    <row r="449">
      <c r="A449" s="134"/>
      <c r="D449">
        <v>4000000.0</v>
      </c>
      <c r="G449" s="121">
        <v>4000000.0</v>
      </c>
      <c r="H449" s="121"/>
      <c r="K449" s="121">
        <f t="shared" si="1"/>
        <v>4000000</v>
      </c>
      <c r="N449" s="122"/>
      <c r="P449">
        <v>4000000.0</v>
      </c>
      <c r="V449" s="121"/>
    </row>
    <row r="450">
      <c r="A450" s="134">
        <v>1.0E7</v>
      </c>
      <c r="D450" t="s">
        <v>585</v>
      </c>
      <c r="G450" s="121">
        <v>1.0E7</v>
      </c>
      <c r="H450" s="121"/>
      <c r="K450" s="121">
        <f t="shared" si="1"/>
        <v>10000000</v>
      </c>
      <c r="N450" s="122"/>
      <c r="P450">
        <v>1.0E7</v>
      </c>
      <c r="V450" s="121"/>
    </row>
    <row r="451">
      <c r="A451" s="134"/>
      <c r="D451">
        <v>1.2E7</v>
      </c>
      <c r="G451" s="121">
        <v>1.2E7</v>
      </c>
      <c r="H451" s="121"/>
      <c r="K451" s="121">
        <f t="shared" si="1"/>
        <v>12000000</v>
      </c>
      <c r="N451" s="122"/>
      <c r="P451">
        <v>1.2E7</v>
      </c>
      <c r="V451" s="121"/>
    </row>
    <row r="452">
      <c r="A452" s="134"/>
      <c r="D452">
        <v>7200000.0</v>
      </c>
      <c r="G452" s="121">
        <v>7200000.0</v>
      </c>
      <c r="H452" s="121"/>
      <c r="K452" s="121">
        <f t="shared" si="1"/>
        <v>7200000</v>
      </c>
      <c r="N452" s="122"/>
      <c r="P452">
        <v>7200000.0</v>
      </c>
      <c r="V452" s="121"/>
    </row>
    <row r="453">
      <c r="A453" s="134"/>
      <c r="D453">
        <v>9000000.0</v>
      </c>
      <c r="G453" s="121">
        <v>9000000.0</v>
      </c>
      <c r="H453" s="121"/>
      <c r="K453" s="121">
        <f t="shared" si="1"/>
        <v>9000000</v>
      </c>
      <c r="N453" s="122"/>
      <c r="P453">
        <v>9000000.0</v>
      </c>
      <c r="V453" s="121"/>
    </row>
    <row r="454">
      <c r="A454" s="134"/>
      <c r="D454">
        <v>3000000.0</v>
      </c>
      <c r="G454" s="121">
        <v>3000000.0</v>
      </c>
      <c r="H454" s="121"/>
      <c r="K454" s="121">
        <f t="shared" si="1"/>
        <v>3000000</v>
      </c>
      <c r="N454" s="122"/>
      <c r="P454">
        <v>3000000.0</v>
      </c>
      <c r="V454" s="121"/>
    </row>
    <row r="455">
      <c r="A455" s="134"/>
      <c r="D455">
        <v>2800000.0</v>
      </c>
      <c r="G455" s="121">
        <v>2800000.0</v>
      </c>
      <c r="H455" s="121"/>
      <c r="K455" s="121">
        <f t="shared" si="1"/>
        <v>2800000</v>
      </c>
      <c r="N455" s="122"/>
      <c r="P455">
        <v>2800000.0</v>
      </c>
      <c r="V455" s="121"/>
    </row>
    <row r="456">
      <c r="A456" s="134"/>
      <c r="D456">
        <v>6750000.0</v>
      </c>
      <c r="G456" s="121">
        <v>6750000.0</v>
      </c>
      <c r="H456" s="121"/>
      <c r="K456" s="121">
        <f t="shared" si="1"/>
        <v>6750000</v>
      </c>
      <c r="N456" s="122"/>
      <c r="P456">
        <v>6750000.0</v>
      </c>
      <c r="V456" s="121"/>
    </row>
    <row r="457">
      <c r="A457" s="134">
        <v>3.15355E7</v>
      </c>
      <c r="D457" t="s">
        <v>585</v>
      </c>
      <c r="G457" s="121">
        <v>3.15355E7</v>
      </c>
      <c r="H457" s="121"/>
      <c r="K457" s="121">
        <f t="shared" si="1"/>
        <v>31535500</v>
      </c>
      <c r="N457" s="122"/>
      <c r="P457">
        <v>3.15355E7</v>
      </c>
      <c r="V457" s="121"/>
    </row>
    <row r="458">
      <c r="A458" s="134"/>
      <c r="D458">
        <v>3666666.0</v>
      </c>
      <c r="G458" s="121">
        <v>3666666.0</v>
      </c>
      <c r="H458" s="121"/>
      <c r="K458" s="121">
        <f t="shared" si="1"/>
        <v>3666666</v>
      </c>
      <c r="N458" s="122"/>
      <c r="P458">
        <v>3666666.0</v>
      </c>
      <c r="V458" s="121"/>
    </row>
    <row r="459">
      <c r="A459" s="134">
        <v>9497442.0</v>
      </c>
      <c r="D459" t="s">
        <v>585</v>
      </c>
      <c r="G459" s="121">
        <v>9497442.0</v>
      </c>
      <c r="H459" s="121"/>
      <c r="K459" s="121">
        <f t="shared" si="1"/>
        <v>9497442</v>
      </c>
      <c r="N459" s="122"/>
      <c r="P459">
        <v>9497442.0</v>
      </c>
      <c r="V459" s="121"/>
    </row>
    <row r="460">
      <c r="A460" s="134">
        <v>1.0E7</v>
      </c>
      <c r="D460" t="s">
        <v>585</v>
      </c>
      <c r="G460" s="121">
        <v>1.0E7</v>
      </c>
      <c r="H460" s="121"/>
      <c r="K460" s="121">
        <f t="shared" si="1"/>
        <v>10000000</v>
      </c>
      <c r="N460" s="122"/>
      <c r="P460">
        <v>1.0E7</v>
      </c>
      <c r="V460" s="121"/>
    </row>
    <row r="461">
      <c r="A461" s="134">
        <v>5000000.0</v>
      </c>
      <c r="D461" t="s">
        <v>585</v>
      </c>
      <c r="G461" s="121">
        <v>5000000.0</v>
      </c>
      <c r="H461" s="121"/>
      <c r="K461" s="121">
        <f t="shared" si="1"/>
        <v>5000000</v>
      </c>
      <c r="N461" s="122"/>
      <c r="P461">
        <v>5000000.0</v>
      </c>
      <c r="V461" s="121"/>
    </row>
    <row r="462">
      <c r="A462" s="134">
        <v>3900000.0</v>
      </c>
      <c r="D462" t="s">
        <v>585</v>
      </c>
      <c r="G462" s="121">
        <v>3900000.0</v>
      </c>
      <c r="H462" s="121"/>
      <c r="K462" s="121">
        <f t="shared" si="1"/>
        <v>3900000</v>
      </c>
      <c r="N462" s="122"/>
      <c r="P462">
        <v>3900000.0</v>
      </c>
      <c r="V462" s="121"/>
    </row>
    <row r="463">
      <c r="A463" s="134">
        <v>9985000.0</v>
      </c>
      <c r="D463" t="s">
        <v>585</v>
      </c>
      <c r="G463" s="121">
        <v>9985000.0</v>
      </c>
      <c r="H463" s="121"/>
      <c r="K463" s="121">
        <f t="shared" si="1"/>
        <v>9985000</v>
      </c>
      <c r="N463" s="122"/>
      <c r="P463">
        <v>9985000.0</v>
      </c>
      <c r="V463" s="121"/>
    </row>
    <row r="464">
      <c r="A464" s="134"/>
      <c r="D464">
        <v>6750000.0</v>
      </c>
      <c r="G464" s="121">
        <v>6750000.0</v>
      </c>
      <c r="H464" s="121"/>
      <c r="K464" s="121">
        <f t="shared" si="1"/>
        <v>6750000</v>
      </c>
      <c r="N464" s="122"/>
      <c r="P464">
        <v>6750000.0</v>
      </c>
      <c r="V464" s="121"/>
    </row>
    <row r="465">
      <c r="A465" s="134"/>
      <c r="D465">
        <v>8000000.0</v>
      </c>
      <c r="G465" s="121">
        <v>8000000.0</v>
      </c>
      <c r="H465" s="121"/>
      <c r="K465" s="121">
        <f t="shared" si="1"/>
        <v>8000000</v>
      </c>
      <c r="N465" s="122"/>
      <c r="P465">
        <v>8000000.0</v>
      </c>
      <c r="V465" s="121"/>
    </row>
    <row r="466">
      <c r="A466" s="134">
        <v>6375000.0</v>
      </c>
      <c r="D466" t="s">
        <v>585</v>
      </c>
      <c r="G466" s="121">
        <v>6375000.0</v>
      </c>
      <c r="H466" s="121"/>
      <c r="K466" s="121">
        <f t="shared" si="1"/>
        <v>6375000</v>
      </c>
      <c r="N466" s="122"/>
      <c r="P466">
        <v>6375000.0</v>
      </c>
      <c r="V466" s="121"/>
    </row>
    <row r="467">
      <c r="A467" s="134">
        <v>5.1470577E7</v>
      </c>
      <c r="D467" t="s">
        <v>585</v>
      </c>
      <c r="G467" s="121">
        <v>5.1470577E7</v>
      </c>
      <c r="H467" s="121"/>
      <c r="K467" s="121">
        <f t="shared" si="1"/>
        <v>51470577</v>
      </c>
      <c r="N467" s="122"/>
      <c r="P467">
        <v>5.1470577E7</v>
      </c>
      <c r="V467" s="121"/>
    </row>
    <row r="468">
      <c r="A468" s="134">
        <v>3.4019537E7</v>
      </c>
      <c r="D468" t="s">
        <v>585</v>
      </c>
      <c r="G468" s="121">
        <v>3.4019537E7</v>
      </c>
      <c r="H468" s="121"/>
      <c r="K468" s="121">
        <f t="shared" si="1"/>
        <v>34019537</v>
      </c>
      <c r="N468" s="122"/>
      <c r="P468">
        <v>3.4019537E7</v>
      </c>
      <c r="V468" s="121"/>
    </row>
    <row r="469">
      <c r="A469" s="134"/>
      <c r="D469">
        <v>9600000.0</v>
      </c>
      <c r="G469" s="121">
        <v>9600000.0</v>
      </c>
      <c r="H469" s="121"/>
      <c r="K469" s="121">
        <f t="shared" si="1"/>
        <v>9600000</v>
      </c>
      <c r="N469" s="122"/>
      <c r="P469">
        <v>9600000.0</v>
      </c>
      <c r="V469" s="121"/>
    </row>
    <row r="470">
      <c r="A470" s="134">
        <v>4500000.0</v>
      </c>
      <c r="D470" t="s">
        <v>585</v>
      </c>
      <c r="G470" s="121">
        <v>4500000.0</v>
      </c>
      <c r="H470" s="121"/>
      <c r="K470" s="121">
        <f t="shared" si="1"/>
        <v>4500000</v>
      </c>
      <c r="N470" s="122"/>
      <c r="P470">
        <v>4500000.0</v>
      </c>
      <c r="V470" s="121"/>
    </row>
    <row r="471">
      <c r="A471" s="134">
        <v>7500000.0</v>
      </c>
      <c r="D471" t="s">
        <v>585</v>
      </c>
      <c r="G471" s="121">
        <v>7500000.0</v>
      </c>
      <c r="H471" s="121"/>
      <c r="K471" s="121">
        <f t="shared" si="1"/>
        <v>7500000</v>
      </c>
      <c r="N471" s="122"/>
      <c r="P471">
        <v>7500000.0</v>
      </c>
      <c r="V471" s="121"/>
    </row>
    <row r="472">
      <c r="A472" s="134"/>
      <c r="D472">
        <v>8000000.0</v>
      </c>
      <c r="G472" s="121">
        <v>8000000.0</v>
      </c>
      <c r="H472" s="121"/>
      <c r="K472" s="121">
        <f t="shared" si="1"/>
        <v>8000000</v>
      </c>
      <c r="N472" s="122"/>
      <c r="P472">
        <v>8000000.0</v>
      </c>
      <c r="V472" s="121"/>
    </row>
    <row r="473">
      <c r="A473" s="134">
        <v>1.4E7</v>
      </c>
      <c r="D473" t="s">
        <v>585</v>
      </c>
      <c r="G473" s="121">
        <v>1.4E7</v>
      </c>
      <c r="H473" s="121"/>
      <c r="K473" s="121">
        <f t="shared" si="1"/>
        <v>14000000</v>
      </c>
      <c r="N473" s="122"/>
      <c r="P473">
        <v>1.4E7</v>
      </c>
      <c r="V473" s="121"/>
    </row>
    <row r="474">
      <c r="A474" s="134">
        <v>8000000.0</v>
      </c>
      <c r="D474" t="s">
        <v>585</v>
      </c>
      <c r="G474" s="121">
        <v>8000000.0</v>
      </c>
      <c r="H474" s="121"/>
      <c r="K474" s="121">
        <f t="shared" si="1"/>
        <v>8000000</v>
      </c>
      <c r="N474" s="122"/>
      <c r="P474">
        <v>8000000.0</v>
      </c>
      <c r="V474" s="121"/>
    </row>
    <row r="475">
      <c r="A475" s="134">
        <v>2.5982318E7</v>
      </c>
      <c r="D475" t="s">
        <v>585</v>
      </c>
      <c r="G475" s="121">
        <v>2.5982318E7</v>
      </c>
      <c r="H475" s="121"/>
      <c r="K475" s="121">
        <f t="shared" si="1"/>
        <v>25982318</v>
      </c>
      <c r="N475" s="122"/>
      <c r="P475">
        <v>2.5982318E7</v>
      </c>
      <c r="V475" s="121"/>
    </row>
    <row r="476">
      <c r="A476" s="134">
        <v>1.2304998E7</v>
      </c>
      <c r="D476" t="s">
        <v>585</v>
      </c>
      <c r="G476" s="121">
        <v>1.2304998E7</v>
      </c>
      <c r="H476" s="121"/>
      <c r="K476" s="121">
        <f t="shared" si="1"/>
        <v>12304998</v>
      </c>
      <c r="N476" s="122"/>
      <c r="P476">
        <v>1.2304998E7</v>
      </c>
      <c r="V476" s="121"/>
    </row>
    <row r="477">
      <c r="A477" s="134">
        <v>4992000.0</v>
      </c>
      <c r="D477" t="s">
        <v>585</v>
      </c>
      <c r="G477" s="121">
        <v>4992000.0</v>
      </c>
      <c r="H477" s="121"/>
      <c r="K477" s="121">
        <f t="shared" si="1"/>
        <v>4992000</v>
      </c>
      <c r="N477" s="122"/>
      <c r="P477">
        <v>4992000.0</v>
      </c>
      <c r="V477" s="121"/>
    </row>
    <row r="478">
      <c r="A478" s="134"/>
      <c r="D478">
        <v>5500000.0</v>
      </c>
      <c r="G478" s="121">
        <v>5500000.0</v>
      </c>
      <c r="H478" s="121"/>
      <c r="K478" s="121">
        <f t="shared" si="1"/>
        <v>5500000</v>
      </c>
      <c r="N478" s="122"/>
      <c r="P478">
        <v>5500000.0</v>
      </c>
      <c r="V478" s="121"/>
    </row>
    <row r="479">
      <c r="A479" s="134">
        <v>1.2E7</v>
      </c>
      <c r="D479" t="s">
        <v>585</v>
      </c>
      <c r="G479" s="121">
        <v>1.2E7</v>
      </c>
      <c r="H479" s="121"/>
      <c r="K479" s="121">
        <f t="shared" si="1"/>
        <v>12000000</v>
      </c>
      <c r="N479" s="122"/>
      <c r="P479">
        <v>1.2E7</v>
      </c>
      <c r="V479" s="121"/>
    </row>
    <row r="480">
      <c r="A480" s="134">
        <v>1.02E7</v>
      </c>
      <c r="D480" t="s">
        <v>585</v>
      </c>
      <c r="G480" s="121">
        <v>1.02E7</v>
      </c>
      <c r="H480" s="121"/>
      <c r="K480" s="121">
        <f t="shared" si="1"/>
        <v>10200000</v>
      </c>
      <c r="N480" s="122"/>
      <c r="P480">
        <v>1.02E7</v>
      </c>
      <c r="V480" s="121"/>
    </row>
    <row r="481">
      <c r="A481" s="134">
        <v>3900000.0</v>
      </c>
      <c r="D481" t="s">
        <v>585</v>
      </c>
      <c r="G481" s="121">
        <v>3900000.0</v>
      </c>
      <c r="H481" s="121"/>
      <c r="K481" s="121">
        <f t="shared" si="1"/>
        <v>3900000</v>
      </c>
      <c r="N481" s="122"/>
      <c r="P481">
        <v>3900000.0</v>
      </c>
      <c r="V481" s="121"/>
    </row>
    <row r="482">
      <c r="A482" s="134"/>
      <c r="D482">
        <v>3200000.0</v>
      </c>
      <c r="G482" s="121">
        <v>3200000.0</v>
      </c>
      <c r="H482" s="121"/>
      <c r="K482" s="121">
        <f t="shared" si="1"/>
        <v>3200000</v>
      </c>
      <c r="N482" s="122"/>
      <c r="P482">
        <v>3200000.0</v>
      </c>
      <c r="V482" s="121"/>
    </row>
    <row r="483">
      <c r="A483" s="134"/>
      <c r="D483">
        <v>1.8E7</v>
      </c>
      <c r="G483" s="121">
        <v>1.8E7</v>
      </c>
      <c r="H483" s="121"/>
      <c r="K483" s="121">
        <f t="shared" si="1"/>
        <v>18000000</v>
      </c>
      <c r="N483" s="122"/>
      <c r="P483">
        <v>1.8E7</v>
      </c>
      <c r="V483" s="121"/>
    </row>
    <row r="484">
      <c r="A484" s="134"/>
      <c r="D484">
        <v>5600000.0</v>
      </c>
      <c r="G484" s="121">
        <v>5600000.0</v>
      </c>
      <c r="H484" s="121"/>
      <c r="K484" s="121">
        <f t="shared" si="1"/>
        <v>5600000</v>
      </c>
      <c r="N484" s="122"/>
      <c r="P484">
        <v>5600000.0</v>
      </c>
      <c r="V484" s="121"/>
    </row>
    <row r="485">
      <c r="A485" s="134"/>
      <c r="D485">
        <v>4000000.0</v>
      </c>
      <c r="G485" s="121">
        <v>4000000.0</v>
      </c>
      <c r="H485" s="121"/>
      <c r="K485" s="121">
        <f t="shared" si="1"/>
        <v>4000000</v>
      </c>
      <c r="N485" s="122"/>
      <c r="P485">
        <v>4000000.0</v>
      </c>
      <c r="V485" s="121"/>
    </row>
    <row r="486">
      <c r="A486" s="134">
        <v>6500000.0</v>
      </c>
      <c r="D486" t="s">
        <v>585</v>
      </c>
      <c r="G486" s="121">
        <v>6500000.0</v>
      </c>
      <c r="H486" s="121"/>
      <c r="K486" s="121">
        <f t="shared" si="1"/>
        <v>6500000</v>
      </c>
      <c r="N486" s="122"/>
      <c r="P486">
        <v>6500000.0</v>
      </c>
      <c r="V486" s="121"/>
    </row>
    <row r="487">
      <c r="A487" s="134">
        <v>4000000.0</v>
      </c>
      <c r="D487" t="s">
        <v>585</v>
      </c>
      <c r="G487" s="121">
        <v>4000000.0</v>
      </c>
      <c r="H487" s="121"/>
      <c r="K487" s="121">
        <f t="shared" si="1"/>
        <v>4000000</v>
      </c>
      <c r="N487" s="122"/>
      <c r="P487">
        <v>4000000.0</v>
      </c>
      <c r="V487" s="121"/>
    </row>
    <row r="488">
      <c r="A488" s="134"/>
      <c r="D488">
        <v>3600000.0</v>
      </c>
      <c r="G488" s="121">
        <v>3600000.0</v>
      </c>
      <c r="H488" s="121"/>
      <c r="K488" s="121">
        <f t="shared" si="1"/>
        <v>3600000</v>
      </c>
      <c r="N488" s="122"/>
      <c r="P488">
        <v>3600000.0</v>
      </c>
      <c r="V488" s="121"/>
    </row>
    <row r="489">
      <c r="A489" s="134">
        <v>2500000.0</v>
      </c>
      <c r="D489" t="s">
        <v>585</v>
      </c>
      <c r="G489" s="121">
        <v>2500000.0</v>
      </c>
      <c r="H489" s="121"/>
      <c r="K489" s="121">
        <f t="shared" si="1"/>
        <v>2500000</v>
      </c>
      <c r="N489" s="122"/>
      <c r="P489">
        <v>2500000.0</v>
      </c>
      <c r="V489" s="121"/>
    </row>
    <row r="490">
      <c r="A490" s="134"/>
      <c r="D490">
        <v>4800000.0</v>
      </c>
      <c r="G490" s="121">
        <v>4800000.0</v>
      </c>
      <c r="H490" s="121"/>
      <c r="K490" s="121">
        <f t="shared" si="1"/>
        <v>4800000</v>
      </c>
      <c r="N490" s="122"/>
      <c r="P490">
        <v>4800000.0</v>
      </c>
      <c r="V490" s="121"/>
    </row>
    <row r="491">
      <c r="A491" s="134"/>
      <c r="D491">
        <v>3000000.0</v>
      </c>
      <c r="G491" s="121">
        <v>3000000.0</v>
      </c>
      <c r="H491" s="121"/>
      <c r="K491" s="121">
        <f t="shared" si="1"/>
        <v>3000000</v>
      </c>
      <c r="N491" s="122"/>
      <c r="P491">
        <v>3000000.0</v>
      </c>
      <c r="V491" s="121"/>
    </row>
    <row r="492">
      <c r="A492" s="134">
        <v>1.105E7</v>
      </c>
      <c r="D492" t="s">
        <v>585</v>
      </c>
      <c r="G492" s="121">
        <v>1.105E7</v>
      </c>
      <c r="H492" s="121"/>
      <c r="K492" s="121">
        <f t="shared" si="1"/>
        <v>11050000</v>
      </c>
      <c r="N492" s="122"/>
      <c r="P492">
        <v>1.105E7</v>
      </c>
      <c r="V492" s="121"/>
    </row>
    <row r="493">
      <c r="A493" s="134">
        <v>5000000.0</v>
      </c>
      <c r="D493" t="s">
        <v>585</v>
      </c>
      <c r="G493" s="121">
        <v>5000000.0</v>
      </c>
      <c r="H493" s="121"/>
      <c r="K493" s="121">
        <f t="shared" si="1"/>
        <v>5000000</v>
      </c>
      <c r="N493" s="122"/>
      <c r="P493">
        <v>5000000.0</v>
      </c>
      <c r="V493" s="121"/>
    </row>
    <row r="494">
      <c r="A494" s="134"/>
      <c r="D494">
        <v>3977777.0</v>
      </c>
      <c r="G494" s="121">
        <v>3977777.0</v>
      </c>
      <c r="H494" s="121"/>
      <c r="K494" s="121">
        <f t="shared" si="1"/>
        <v>3977777</v>
      </c>
      <c r="N494" s="122"/>
      <c r="P494">
        <v>3977777.0</v>
      </c>
      <c r="V494" s="121"/>
    </row>
    <row r="495">
      <c r="A495" s="134"/>
      <c r="D495">
        <v>2339270.0</v>
      </c>
      <c r="G495" s="121">
        <v>2339270.0</v>
      </c>
      <c r="H495" s="121"/>
      <c r="K495" s="121">
        <f t="shared" si="1"/>
        <v>2339270</v>
      </c>
      <c r="N495" s="122"/>
      <c r="P495">
        <v>2339270.0</v>
      </c>
      <c r="V495" s="121"/>
    </row>
    <row r="496">
      <c r="A496" s="134"/>
      <c r="D496">
        <v>8000000.0</v>
      </c>
      <c r="G496" s="121">
        <v>8000000.0</v>
      </c>
      <c r="H496" s="121"/>
      <c r="K496" s="121">
        <f t="shared" si="1"/>
        <v>8000000</v>
      </c>
      <c r="N496" s="122"/>
      <c r="P496">
        <v>8000000.0</v>
      </c>
      <c r="V496" s="121"/>
    </row>
    <row r="497">
      <c r="A497" s="134"/>
      <c r="D497">
        <v>2800000.0</v>
      </c>
      <c r="G497" s="121">
        <v>2800000.0</v>
      </c>
      <c r="H497" s="121"/>
      <c r="K497" s="121">
        <f t="shared" si="1"/>
        <v>2800000</v>
      </c>
      <c r="N497" s="122"/>
      <c r="P497">
        <v>2800000.0</v>
      </c>
      <c r="V497" s="121"/>
    </row>
    <row r="498">
      <c r="A498" s="134"/>
      <c r="D498">
        <v>4800000.0</v>
      </c>
      <c r="G498" s="121">
        <v>4800000.0</v>
      </c>
      <c r="H498" s="121"/>
      <c r="K498" s="121">
        <f t="shared" si="1"/>
        <v>4800000</v>
      </c>
      <c r="N498" s="122"/>
      <c r="P498">
        <v>4800000.0</v>
      </c>
      <c r="V498" s="121"/>
    </row>
    <row r="499">
      <c r="A499" s="134">
        <v>8300000.0</v>
      </c>
      <c r="D499" t="s">
        <v>585</v>
      </c>
      <c r="G499" s="121">
        <v>8300000.0</v>
      </c>
      <c r="H499" s="121"/>
      <c r="K499" s="121">
        <f t="shared" si="1"/>
        <v>8300000</v>
      </c>
      <c r="N499" s="122"/>
      <c r="P499">
        <v>8300000.0</v>
      </c>
      <c r="V499" s="121"/>
    </row>
    <row r="500">
      <c r="A500" s="134"/>
      <c r="D500">
        <v>5.2E7</v>
      </c>
      <c r="G500" s="121">
        <v>5.2E7</v>
      </c>
      <c r="H500" s="121"/>
      <c r="K500" s="121">
        <f t="shared" si="1"/>
        <v>52000000</v>
      </c>
      <c r="N500" s="122"/>
      <c r="P500">
        <v>5.2E7</v>
      </c>
      <c r="V500" s="121"/>
    </row>
    <row r="501">
      <c r="A501" s="134">
        <v>1.835E7</v>
      </c>
      <c r="D501" t="s">
        <v>585</v>
      </c>
      <c r="G501" s="121">
        <v>1.835E7</v>
      </c>
      <c r="H501" s="121"/>
      <c r="K501" s="121">
        <f t="shared" si="1"/>
        <v>18350000</v>
      </c>
      <c r="N501" s="122"/>
      <c r="P501">
        <v>1.835E7</v>
      </c>
      <c r="V501" s="121"/>
    </row>
    <row r="502">
      <c r="A502" s="134">
        <v>1.0E7</v>
      </c>
      <c r="D502" t="s">
        <v>585</v>
      </c>
      <c r="G502" s="121">
        <v>1.0E7</v>
      </c>
      <c r="H502" s="121"/>
      <c r="K502" s="121">
        <f t="shared" si="1"/>
        <v>10000000</v>
      </c>
      <c r="N502" s="122"/>
      <c r="P502">
        <v>1.0E7</v>
      </c>
      <c r="V502" s="121"/>
    </row>
    <row r="503">
      <c r="A503" s="134"/>
      <c r="D503">
        <v>1680000.0</v>
      </c>
      <c r="G503" s="121">
        <v>1680000.0</v>
      </c>
      <c r="H503" s="121"/>
      <c r="K503" s="121">
        <f t="shared" si="1"/>
        <v>1680000</v>
      </c>
      <c r="N503" s="122"/>
      <c r="P503">
        <v>1680000.0</v>
      </c>
      <c r="V503" s="121"/>
    </row>
    <row r="504">
      <c r="A504" s="134">
        <v>4000000.0</v>
      </c>
      <c r="D504" t="s">
        <v>585</v>
      </c>
      <c r="G504" s="121">
        <v>4000000.0</v>
      </c>
      <c r="H504" s="121"/>
      <c r="K504" s="121">
        <f t="shared" si="1"/>
        <v>4000000</v>
      </c>
      <c r="N504" s="122"/>
      <c r="P504">
        <v>4000000.0</v>
      </c>
      <c r="V504" s="121"/>
    </row>
    <row r="505">
      <c r="A505" s="134"/>
      <c r="D505">
        <v>4000000.0</v>
      </c>
      <c r="G505" s="121">
        <v>4000000.0</v>
      </c>
      <c r="H505" s="121"/>
      <c r="K505" s="121">
        <f t="shared" si="1"/>
        <v>4000000</v>
      </c>
      <c r="N505" s="122"/>
      <c r="P505">
        <v>4000000.0</v>
      </c>
      <c r="V505" s="121"/>
    </row>
    <row r="506">
      <c r="A506" s="134"/>
      <c r="D506">
        <v>5500000.0</v>
      </c>
      <c r="G506" s="121">
        <v>5500000.0</v>
      </c>
      <c r="H506" s="121"/>
      <c r="K506" s="121">
        <f t="shared" si="1"/>
        <v>5500000</v>
      </c>
      <c r="N506" s="122"/>
      <c r="P506">
        <v>5500000.0</v>
      </c>
      <c r="V506" s="121"/>
    </row>
    <row r="507">
      <c r="A507" s="134"/>
      <c r="D507">
        <v>1.0E7</v>
      </c>
      <c r="G507" s="121">
        <v>1.0E7</v>
      </c>
      <c r="H507" s="121"/>
      <c r="K507" s="121">
        <f t="shared" si="1"/>
        <v>10000000</v>
      </c>
      <c r="N507" s="122"/>
      <c r="P507">
        <v>1.0E7</v>
      </c>
      <c r="V507" s="121"/>
    </row>
    <row r="508">
      <c r="A508" s="134"/>
      <c r="D508">
        <v>3200000.0</v>
      </c>
      <c r="G508" s="121">
        <v>3200000.0</v>
      </c>
      <c r="H508" s="121"/>
      <c r="K508" s="121">
        <f t="shared" si="1"/>
        <v>3200000</v>
      </c>
      <c r="N508" s="122"/>
      <c r="P508">
        <v>3200000.0</v>
      </c>
      <c r="V508" s="121"/>
    </row>
    <row r="509">
      <c r="A509" s="134">
        <v>8.038439E7</v>
      </c>
      <c r="D509" t="s">
        <v>585</v>
      </c>
      <c r="G509" s="121">
        <v>8.038439E7</v>
      </c>
      <c r="H509" s="121"/>
      <c r="K509" t="str">
        <f t="shared" si="1"/>
        <v/>
      </c>
      <c r="N509" s="122"/>
      <c r="P509" t="s">
        <v>585</v>
      </c>
      <c r="V509" s="121"/>
    </row>
    <row r="510">
      <c r="A510" s="134">
        <v>1.0998984E7</v>
      </c>
      <c r="D510" t="s">
        <v>585</v>
      </c>
      <c r="G510" s="121">
        <v>1.0998984E7</v>
      </c>
      <c r="H510" s="121"/>
      <c r="K510" s="121">
        <f t="shared" si="1"/>
        <v>10998984</v>
      </c>
      <c r="N510" s="122"/>
      <c r="P510">
        <v>1.0998984E7</v>
      </c>
      <c r="V510" s="121"/>
    </row>
    <row r="511">
      <c r="A511" s="134">
        <v>3000000.0</v>
      </c>
      <c r="D511" t="s">
        <v>585</v>
      </c>
      <c r="G511" s="121">
        <v>3000000.0</v>
      </c>
      <c r="H511" s="121"/>
      <c r="K511" s="121">
        <f t="shared" si="1"/>
        <v>3000000</v>
      </c>
      <c r="N511" s="122"/>
      <c r="P511">
        <v>3000000.0</v>
      </c>
      <c r="V511" s="121"/>
    </row>
    <row r="512">
      <c r="A512" s="134">
        <v>2448000.0</v>
      </c>
      <c r="D512" t="s">
        <v>585</v>
      </c>
      <c r="G512" s="121">
        <v>2448000.0</v>
      </c>
      <c r="H512" s="121"/>
      <c r="K512" s="121">
        <f t="shared" si="1"/>
        <v>2448000</v>
      </c>
      <c r="N512" s="122"/>
      <c r="P512">
        <v>2448000.0</v>
      </c>
      <c r="V512" s="121"/>
    </row>
    <row r="513">
      <c r="A513" s="134"/>
      <c r="D513">
        <v>1.08E7</v>
      </c>
      <c r="G513" s="121">
        <v>1.08E7</v>
      </c>
      <c r="H513" s="121"/>
      <c r="K513" s="121">
        <f t="shared" si="1"/>
        <v>10800000</v>
      </c>
      <c r="N513" s="122"/>
      <c r="P513">
        <v>1.08E7</v>
      </c>
      <c r="V513" s="121"/>
    </row>
    <row r="514">
      <c r="A514" s="134"/>
      <c r="D514">
        <v>4000000.0</v>
      </c>
      <c r="G514" s="121">
        <v>4000000.0</v>
      </c>
      <c r="H514" s="121"/>
      <c r="K514" s="121">
        <f t="shared" si="1"/>
        <v>4000000</v>
      </c>
      <c r="N514" s="122"/>
      <c r="P514">
        <v>4000000.0</v>
      </c>
      <c r="V514" s="121"/>
    </row>
    <row r="515">
      <c r="A515" s="134">
        <v>1.56E7</v>
      </c>
      <c r="D515" t="s">
        <v>585</v>
      </c>
      <c r="G515" s="121">
        <v>1.56E7</v>
      </c>
      <c r="H515" s="121"/>
      <c r="K515" s="121">
        <f t="shared" si="1"/>
        <v>15600000</v>
      </c>
      <c r="N515" s="122"/>
      <c r="P515">
        <v>1.56E7</v>
      </c>
      <c r="V515" s="121"/>
    </row>
    <row r="516">
      <c r="A516" s="134"/>
      <c r="D516">
        <v>1600000.0</v>
      </c>
      <c r="G516" s="121">
        <v>1600000.0</v>
      </c>
      <c r="H516" s="121"/>
      <c r="K516" s="121">
        <f t="shared" si="1"/>
        <v>1600000</v>
      </c>
      <c r="N516" s="122"/>
      <c r="P516">
        <v>1600000.0</v>
      </c>
      <c r="V516" s="121"/>
    </row>
    <row r="517">
      <c r="A517" s="134">
        <v>6.793493E7</v>
      </c>
      <c r="D517" t="s">
        <v>585</v>
      </c>
      <c r="G517" s="121">
        <v>6.793493E7</v>
      </c>
      <c r="H517" s="121"/>
      <c r="K517" s="121">
        <f t="shared" si="1"/>
        <v>67934930</v>
      </c>
      <c r="N517" s="122"/>
      <c r="P517">
        <v>6.793493E7</v>
      </c>
      <c r="V517" s="121"/>
    </row>
    <row r="518">
      <c r="A518" s="134">
        <v>2970000.0</v>
      </c>
      <c r="D518" t="s">
        <v>585</v>
      </c>
      <c r="G518" s="121">
        <v>2970000.0</v>
      </c>
      <c r="H518" s="121"/>
      <c r="K518" s="121">
        <f t="shared" si="1"/>
        <v>2970000</v>
      </c>
      <c r="N518" s="122"/>
      <c r="P518">
        <v>2970000.0</v>
      </c>
      <c r="V518" s="121"/>
    </row>
    <row r="519">
      <c r="A519" s="134"/>
      <c r="D519">
        <v>1.0E7</v>
      </c>
      <c r="G519" s="121">
        <v>1.0E7</v>
      </c>
      <c r="H519" s="121"/>
      <c r="K519" s="121">
        <f t="shared" si="1"/>
        <v>10000000</v>
      </c>
      <c r="N519" s="122"/>
      <c r="P519">
        <v>1.0E7</v>
      </c>
      <c r="V519" s="121"/>
    </row>
    <row r="520">
      <c r="A520" s="134">
        <v>4200000.0</v>
      </c>
      <c r="D520" t="s">
        <v>585</v>
      </c>
      <c r="G520" s="121">
        <v>4200000.0</v>
      </c>
      <c r="H520" s="121"/>
      <c r="K520" s="121">
        <f t="shared" si="1"/>
        <v>4200000</v>
      </c>
      <c r="N520" s="122"/>
      <c r="P520">
        <v>4200000.0</v>
      </c>
      <c r="V520" s="121"/>
    </row>
    <row r="521">
      <c r="A521" s="134">
        <v>5436506.0</v>
      </c>
      <c r="D521" t="s">
        <v>585</v>
      </c>
      <c r="G521" s="121">
        <v>5436506.0</v>
      </c>
      <c r="H521" s="121"/>
      <c r="K521" s="121">
        <f t="shared" si="1"/>
        <v>5436506</v>
      </c>
      <c r="N521" s="122"/>
      <c r="P521">
        <v>5436506.0</v>
      </c>
      <c r="V521" s="121"/>
    </row>
    <row r="522">
      <c r="A522" s="134">
        <v>6000000.0</v>
      </c>
      <c r="D522" t="s">
        <v>585</v>
      </c>
      <c r="G522" s="121">
        <v>6000000.0</v>
      </c>
      <c r="H522" s="121"/>
      <c r="K522" s="121">
        <f t="shared" si="1"/>
        <v>6000000</v>
      </c>
      <c r="N522" s="122"/>
      <c r="P522">
        <v>6000000.0</v>
      </c>
      <c r="V522" s="121"/>
    </row>
    <row r="523">
      <c r="A523" s="134">
        <v>5000000.0</v>
      </c>
      <c r="D523" t="s">
        <v>585</v>
      </c>
      <c r="G523" s="121">
        <v>5000000.0</v>
      </c>
      <c r="H523" s="121"/>
      <c r="K523" s="121">
        <f t="shared" si="1"/>
        <v>5000000</v>
      </c>
      <c r="N523" s="122"/>
      <c r="P523">
        <v>5000000.0</v>
      </c>
      <c r="V523" s="121"/>
    </row>
    <row r="524">
      <c r="A524" s="134">
        <v>9000000.0</v>
      </c>
      <c r="D524" t="s">
        <v>585</v>
      </c>
      <c r="G524" s="121">
        <v>9000000.0</v>
      </c>
      <c r="H524" s="121"/>
      <c r="K524" s="121">
        <f t="shared" si="1"/>
        <v>9000000</v>
      </c>
      <c r="N524" s="122"/>
      <c r="P524">
        <v>9000000.0</v>
      </c>
      <c r="V524" s="121"/>
    </row>
    <row r="525">
      <c r="A525" s="134">
        <v>6030000.0</v>
      </c>
      <c r="D525" t="s">
        <v>585</v>
      </c>
      <c r="G525" s="121">
        <v>6030000.0</v>
      </c>
      <c r="H525" s="121"/>
      <c r="K525" s="121">
        <f t="shared" si="1"/>
        <v>6030000</v>
      </c>
      <c r="N525" s="122"/>
      <c r="P525">
        <v>6030000.0</v>
      </c>
      <c r="V525" s="121"/>
    </row>
    <row r="526">
      <c r="A526" s="134">
        <v>6250010.0</v>
      </c>
      <c r="D526" t="s">
        <v>585</v>
      </c>
      <c r="G526" s="121">
        <v>6250010.0</v>
      </c>
      <c r="H526" s="121"/>
      <c r="K526" s="121">
        <f t="shared" si="1"/>
        <v>6250010</v>
      </c>
      <c r="N526" s="122"/>
      <c r="P526">
        <v>6250010.0</v>
      </c>
      <c r="V526" s="121"/>
    </row>
    <row r="527">
      <c r="A527" s="134">
        <v>2500000.0</v>
      </c>
      <c r="D527" t="s">
        <v>585</v>
      </c>
      <c r="G527" s="121">
        <v>2500000.0</v>
      </c>
      <c r="H527" s="121"/>
      <c r="K527" s="121">
        <f t="shared" si="1"/>
        <v>2500000</v>
      </c>
      <c r="N527" s="122"/>
      <c r="P527">
        <v>2500000.0</v>
      </c>
      <c r="V527" s="121"/>
    </row>
    <row r="528">
      <c r="A528" s="134"/>
      <c r="D528">
        <v>3000000.0</v>
      </c>
      <c r="G528" s="121">
        <v>3000000.0</v>
      </c>
      <c r="H528" s="121"/>
      <c r="K528" s="121">
        <f t="shared" si="1"/>
        <v>3000000</v>
      </c>
      <c r="N528" s="122"/>
      <c r="P528">
        <v>3000000.0</v>
      </c>
      <c r="V528" s="121"/>
    </row>
    <row r="529">
      <c r="A529" s="134">
        <v>8600000.0</v>
      </c>
      <c r="D529" t="s">
        <v>585</v>
      </c>
      <c r="G529" s="121">
        <v>8600000.0</v>
      </c>
      <c r="H529" s="121"/>
      <c r="K529" s="121">
        <f t="shared" si="1"/>
        <v>8600000</v>
      </c>
      <c r="N529" s="122"/>
      <c r="P529">
        <v>8600000.0</v>
      </c>
      <c r="V529" s="121"/>
    </row>
    <row r="530">
      <c r="A530" s="134">
        <v>7000000.0</v>
      </c>
      <c r="D530" t="s">
        <v>585</v>
      </c>
      <c r="G530" s="121">
        <v>7000000.0</v>
      </c>
      <c r="H530" s="121"/>
      <c r="K530" s="121">
        <f t="shared" si="1"/>
        <v>7000000</v>
      </c>
      <c r="N530" s="122"/>
      <c r="P530">
        <v>7000000.0</v>
      </c>
      <c r="V530" s="121"/>
    </row>
    <row r="531">
      <c r="A531" s="134">
        <v>8000000.0</v>
      </c>
      <c r="D531" t="s">
        <v>585</v>
      </c>
      <c r="G531" s="121">
        <v>8000000.0</v>
      </c>
      <c r="H531" s="121"/>
      <c r="K531" s="121">
        <f t="shared" si="1"/>
        <v>8000000</v>
      </c>
      <c r="N531" s="122"/>
      <c r="P531">
        <v>8000000.0</v>
      </c>
      <c r="V531" s="121"/>
    </row>
    <row r="532">
      <c r="A532" s="134"/>
      <c r="D532">
        <v>450000.0</v>
      </c>
      <c r="G532" s="121">
        <v>450000.0</v>
      </c>
      <c r="H532" s="121"/>
      <c r="K532" s="121">
        <f t="shared" si="1"/>
        <v>450000</v>
      </c>
      <c r="N532" s="122"/>
      <c r="P532">
        <v>450000.0</v>
      </c>
      <c r="V532" s="121"/>
    </row>
    <row r="533">
      <c r="A533" s="134"/>
      <c r="D533">
        <v>464285.0</v>
      </c>
      <c r="G533" s="121">
        <v>464285.0</v>
      </c>
      <c r="H533" s="121"/>
      <c r="K533" s="121">
        <f t="shared" si="1"/>
        <v>464285</v>
      </c>
      <c r="N533" s="122"/>
      <c r="P533">
        <v>464285.0</v>
      </c>
      <c r="V533" s="121"/>
    </row>
    <row r="534">
      <c r="A534" s="134">
        <v>2660000.0</v>
      </c>
      <c r="D534" t="s">
        <v>585</v>
      </c>
      <c r="G534" s="121">
        <v>2660000.0</v>
      </c>
      <c r="H534" s="121"/>
      <c r="K534" s="121">
        <f t="shared" si="1"/>
        <v>2660000</v>
      </c>
      <c r="N534" s="122"/>
      <c r="P534">
        <v>2660000.0</v>
      </c>
      <c r="V534" s="121"/>
    </row>
    <row r="535">
      <c r="A535" s="134">
        <v>2.5E7</v>
      </c>
      <c r="D535" t="s">
        <v>585</v>
      </c>
      <c r="G535" s="121">
        <v>2.5E7</v>
      </c>
      <c r="H535" s="121"/>
      <c r="K535" s="121">
        <f t="shared" si="1"/>
        <v>25000000</v>
      </c>
      <c r="N535" s="122"/>
      <c r="P535">
        <v>2.5E7</v>
      </c>
      <c r="V535" s="121"/>
    </row>
    <row r="536">
      <c r="A536" s="134">
        <v>8996400.0</v>
      </c>
      <c r="D536" t="s">
        <v>585</v>
      </c>
      <c r="G536" s="121">
        <v>8996400.0</v>
      </c>
      <c r="H536" s="121"/>
      <c r="K536" s="121">
        <f t="shared" si="1"/>
        <v>8996400</v>
      </c>
      <c r="N536" s="122"/>
      <c r="P536">
        <v>8996400.0</v>
      </c>
      <c r="V536" s="121"/>
    </row>
    <row r="537">
      <c r="A537">
        <v>5.163301E7</v>
      </c>
      <c r="D537" t="s">
        <v>585</v>
      </c>
      <c r="G537" s="121">
        <v>5.163301E7</v>
      </c>
      <c r="H537" s="121"/>
      <c r="K537" s="121">
        <f t="shared" si="1"/>
        <v>51633010</v>
      </c>
      <c r="N537" s="122"/>
      <c r="P537">
        <v>5.163301E7</v>
      </c>
      <c r="V537" s="121"/>
    </row>
    <row r="538">
      <c r="D538">
        <v>4000000.0</v>
      </c>
      <c r="G538" s="121">
        <v>4000000.0</v>
      </c>
      <c r="H538" s="121"/>
      <c r="K538" s="121">
        <f t="shared" si="1"/>
        <v>4000000</v>
      </c>
      <c r="N538" s="122"/>
      <c r="P538">
        <v>4000000.0</v>
      </c>
      <c r="V538" s="121"/>
    </row>
    <row r="539">
      <c r="H539" s="121"/>
      <c r="N539" s="122"/>
      <c r="V539" s="121"/>
    </row>
    <row r="540">
      <c r="H540" s="121"/>
      <c r="N540" s="122"/>
      <c r="V540" s="121"/>
    </row>
    <row r="541">
      <c r="H541" s="121"/>
      <c r="N541" s="122"/>
      <c r="V541" s="121"/>
    </row>
    <row r="542">
      <c r="H542" s="121"/>
      <c r="N542" s="122"/>
      <c r="V542" s="121"/>
    </row>
    <row r="543">
      <c r="H543" s="121"/>
      <c r="N543" s="122"/>
      <c r="V543" s="121"/>
    </row>
    <row r="544">
      <c r="H544" s="121"/>
      <c r="N544" s="122"/>
      <c r="V544" s="121"/>
    </row>
    <row r="545">
      <c r="H545" s="121"/>
      <c r="N545" s="122"/>
      <c r="V545" s="121"/>
    </row>
    <row r="546">
      <c r="H546" s="121"/>
      <c r="N546" s="122"/>
      <c r="V546" s="121"/>
    </row>
    <row r="547">
      <c r="H547" s="121"/>
      <c r="N547" s="122"/>
      <c r="V547" s="121"/>
    </row>
    <row r="548">
      <c r="H548" s="121"/>
      <c r="N548" s="122"/>
      <c r="V548" s="121"/>
    </row>
    <row r="549">
      <c r="H549" s="121"/>
      <c r="N549" s="122"/>
      <c r="V549" s="121"/>
    </row>
    <row r="550">
      <c r="H550" s="121"/>
      <c r="N550" s="122"/>
      <c r="V550" s="121"/>
    </row>
    <row r="551">
      <c r="H551" s="121"/>
      <c r="N551" s="122"/>
      <c r="V551" s="121"/>
    </row>
    <row r="552">
      <c r="H552" s="121"/>
      <c r="N552" s="122"/>
      <c r="V552" s="121"/>
    </row>
    <row r="553">
      <c r="H553" s="121"/>
      <c r="N553" s="122"/>
      <c r="V553" s="121"/>
    </row>
    <row r="554">
      <c r="H554" s="121"/>
      <c r="N554" s="122"/>
      <c r="V554" s="121"/>
    </row>
    <row r="555">
      <c r="H555" s="121"/>
      <c r="N555" s="122"/>
      <c r="V555" s="121"/>
    </row>
    <row r="556">
      <c r="H556" s="121"/>
      <c r="N556" s="122"/>
      <c r="V556" s="121"/>
    </row>
    <row r="557">
      <c r="H557" s="121"/>
      <c r="N557" s="122"/>
      <c r="V557" s="121"/>
    </row>
    <row r="558">
      <c r="H558" s="121"/>
      <c r="N558" s="122"/>
      <c r="V558" s="121"/>
    </row>
    <row r="559">
      <c r="H559" s="121"/>
      <c r="N559" s="122"/>
      <c r="V559" s="121"/>
    </row>
    <row r="560">
      <c r="H560" s="121"/>
      <c r="N560" s="122"/>
      <c r="V560" s="121"/>
    </row>
    <row r="561">
      <c r="H561" s="121"/>
      <c r="N561" s="122"/>
      <c r="V561" s="121"/>
    </row>
    <row r="562">
      <c r="H562" s="121"/>
      <c r="N562" s="122"/>
      <c r="V562" s="121"/>
    </row>
    <row r="563">
      <c r="H563" s="121"/>
      <c r="N563" s="122"/>
      <c r="V563" s="121"/>
    </row>
    <row r="564">
      <c r="H564" s="121"/>
      <c r="N564" s="122"/>
      <c r="V564" s="121"/>
    </row>
    <row r="565">
      <c r="H565" s="121"/>
      <c r="N565" s="122"/>
      <c r="V565" s="121"/>
    </row>
    <row r="566">
      <c r="H566" s="121"/>
      <c r="N566" s="122"/>
      <c r="V566" s="121"/>
    </row>
    <row r="567">
      <c r="H567" s="121"/>
      <c r="N567" s="122"/>
      <c r="V567" s="121"/>
    </row>
    <row r="568">
      <c r="H568" s="121"/>
      <c r="N568" s="122"/>
      <c r="V568" s="121"/>
    </row>
    <row r="569">
      <c r="H569" s="121"/>
      <c r="N569" s="122"/>
      <c r="V569" s="121"/>
    </row>
    <row r="570">
      <c r="H570" s="121"/>
      <c r="N570" s="122"/>
      <c r="V570" s="121"/>
    </row>
    <row r="571">
      <c r="H571" s="121"/>
      <c r="N571" s="122"/>
      <c r="V571" s="121"/>
    </row>
    <row r="572">
      <c r="H572" s="121"/>
      <c r="N572" s="122"/>
      <c r="V572" s="121"/>
    </row>
    <row r="573">
      <c r="H573" s="121"/>
      <c r="N573" s="122"/>
      <c r="V573" s="121"/>
    </row>
    <row r="574">
      <c r="H574" s="121"/>
      <c r="N574" s="122"/>
      <c r="V574" s="121"/>
    </row>
    <row r="575">
      <c r="H575" s="121"/>
      <c r="N575" s="122"/>
      <c r="V575" s="121"/>
    </row>
    <row r="576">
      <c r="H576" s="121"/>
      <c r="N576" s="122"/>
      <c r="V576" s="121"/>
    </row>
    <row r="577">
      <c r="H577" s="121"/>
      <c r="N577" s="122"/>
      <c r="V577" s="121"/>
    </row>
    <row r="578">
      <c r="H578" s="121"/>
      <c r="N578" s="122"/>
      <c r="V578" s="121"/>
    </row>
    <row r="579">
      <c r="H579" s="121"/>
      <c r="N579" s="122"/>
      <c r="V579" s="121"/>
    </row>
    <row r="580">
      <c r="H580" s="121"/>
      <c r="N580" s="122"/>
      <c r="V580" s="121"/>
    </row>
    <row r="581">
      <c r="H581" s="121"/>
      <c r="N581" s="122"/>
      <c r="V581" s="121"/>
    </row>
    <row r="582">
      <c r="H582" s="121"/>
      <c r="N582" s="122"/>
      <c r="V582" s="121"/>
    </row>
    <row r="583">
      <c r="H583" s="121"/>
      <c r="N583" s="122"/>
      <c r="V583" s="121"/>
    </row>
    <row r="584">
      <c r="H584" s="121"/>
      <c r="N584" s="122"/>
      <c r="V584" s="121"/>
    </row>
    <row r="585">
      <c r="H585" s="121"/>
      <c r="N585" s="122"/>
      <c r="V585" s="121"/>
    </row>
    <row r="586">
      <c r="H586" s="121"/>
      <c r="N586" s="122"/>
      <c r="V586" s="121"/>
    </row>
    <row r="587">
      <c r="H587" s="121"/>
      <c r="N587" s="122"/>
      <c r="V587" s="121"/>
    </row>
    <row r="588">
      <c r="H588" s="121"/>
      <c r="N588" s="122"/>
      <c r="V588" s="121"/>
    </row>
    <row r="589">
      <c r="H589" s="121"/>
      <c r="N589" s="122"/>
      <c r="V589" s="121"/>
    </row>
    <row r="590">
      <c r="H590" s="121"/>
      <c r="N590" s="122"/>
      <c r="V590" s="121"/>
    </row>
    <row r="591">
      <c r="H591" s="121"/>
      <c r="N591" s="122"/>
      <c r="V591" s="121"/>
    </row>
    <row r="592">
      <c r="H592" s="121"/>
      <c r="N592" s="122"/>
      <c r="V592" s="121"/>
    </row>
    <row r="593">
      <c r="H593" s="121"/>
      <c r="N593" s="122"/>
      <c r="V593" s="121"/>
    </row>
    <row r="594">
      <c r="H594" s="121"/>
      <c r="N594" s="122"/>
      <c r="V594" s="121"/>
    </row>
    <row r="595">
      <c r="H595" s="121"/>
      <c r="N595" s="122"/>
      <c r="V595" s="121"/>
    </row>
    <row r="596">
      <c r="H596" s="121"/>
      <c r="N596" s="122"/>
      <c r="V596" s="121"/>
    </row>
    <row r="597">
      <c r="H597" s="121"/>
      <c r="N597" s="122"/>
      <c r="V597" s="121"/>
    </row>
    <row r="598">
      <c r="H598" s="121"/>
      <c r="N598" s="122"/>
      <c r="V598" s="121"/>
    </row>
    <row r="599">
      <c r="H599" s="121"/>
      <c r="N599" s="122"/>
      <c r="V599" s="121"/>
    </row>
    <row r="600">
      <c r="H600" s="121"/>
      <c r="N600" s="122"/>
      <c r="V600" s="121"/>
    </row>
    <row r="601">
      <c r="H601" s="121"/>
      <c r="N601" s="122"/>
      <c r="V601" s="121"/>
    </row>
    <row r="602">
      <c r="H602" s="121"/>
      <c r="N602" s="122"/>
      <c r="V602" s="121"/>
    </row>
    <row r="603">
      <c r="H603" s="121"/>
      <c r="N603" s="122"/>
      <c r="V603" s="121"/>
    </row>
    <row r="604">
      <c r="H604" s="121"/>
      <c r="N604" s="122"/>
      <c r="V604" s="121"/>
    </row>
    <row r="605">
      <c r="H605" s="121"/>
      <c r="N605" s="122"/>
      <c r="V605" s="121"/>
    </row>
    <row r="606">
      <c r="H606" s="121"/>
      <c r="N606" s="122"/>
      <c r="V606" s="121"/>
    </row>
    <row r="607">
      <c r="H607" s="121"/>
      <c r="N607" s="122"/>
      <c r="V607" s="121"/>
    </row>
    <row r="608">
      <c r="H608" s="121"/>
      <c r="N608" s="122"/>
      <c r="V608" s="121"/>
    </row>
    <row r="609">
      <c r="H609" s="121"/>
      <c r="N609" s="122"/>
      <c r="V609" s="121"/>
    </row>
    <row r="610">
      <c r="H610" s="121"/>
      <c r="N610" s="122"/>
      <c r="V610" s="121"/>
    </row>
    <row r="611">
      <c r="H611" s="121"/>
      <c r="N611" s="122"/>
      <c r="V611" s="121"/>
    </row>
    <row r="612">
      <c r="H612" s="121"/>
      <c r="N612" s="122"/>
      <c r="V612" s="121"/>
    </row>
    <row r="613">
      <c r="H613" s="121"/>
      <c r="N613" s="122"/>
      <c r="V613" s="121"/>
    </row>
    <row r="614">
      <c r="H614" s="121"/>
      <c r="N614" s="122"/>
      <c r="V614" s="121"/>
    </row>
    <row r="615">
      <c r="H615" s="121"/>
      <c r="N615" s="122"/>
      <c r="V615" s="121"/>
    </row>
    <row r="616">
      <c r="H616" s="121"/>
      <c r="N616" s="122"/>
      <c r="V616" s="121"/>
    </row>
    <row r="617">
      <c r="H617" s="121"/>
      <c r="N617" s="122"/>
      <c r="V617" s="121"/>
    </row>
    <row r="618">
      <c r="H618" s="121"/>
      <c r="N618" s="122"/>
      <c r="V618" s="121"/>
    </row>
    <row r="619">
      <c r="H619" s="121"/>
      <c r="N619" s="122"/>
      <c r="V619" s="121"/>
    </row>
    <row r="620">
      <c r="H620" s="121"/>
      <c r="N620" s="122"/>
      <c r="V620" s="121"/>
    </row>
    <row r="621">
      <c r="H621" s="121"/>
      <c r="N621" s="122"/>
      <c r="V621" s="121"/>
    </row>
    <row r="622">
      <c r="H622" s="121"/>
      <c r="N622" s="122"/>
      <c r="V622" s="121"/>
    </row>
    <row r="623">
      <c r="H623" s="121"/>
      <c r="N623" s="122"/>
      <c r="V623" s="121"/>
    </row>
    <row r="624">
      <c r="H624" s="121"/>
      <c r="N624" s="122"/>
      <c r="V624" s="121"/>
    </row>
    <row r="625">
      <c r="H625" s="121"/>
      <c r="N625" s="122"/>
      <c r="V625" s="121"/>
    </row>
    <row r="626">
      <c r="H626" s="121"/>
      <c r="N626" s="122"/>
      <c r="V626" s="121"/>
    </row>
    <row r="627">
      <c r="H627" s="121"/>
      <c r="N627" s="122"/>
      <c r="V627" s="121"/>
    </row>
    <row r="628">
      <c r="H628" s="121"/>
      <c r="N628" s="122"/>
      <c r="V628" s="121"/>
    </row>
    <row r="629">
      <c r="H629" s="121"/>
      <c r="N629" s="122"/>
      <c r="V629" s="121"/>
    </row>
    <row r="630">
      <c r="H630" s="121"/>
      <c r="N630" s="122"/>
      <c r="V630" s="121"/>
    </row>
    <row r="631">
      <c r="H631" s="121"/>
      <c r="N631" s="122"/>
      <c r="V631" s="121"/>
    </row>
    <row r="632">
      <c r="H632" s="121"/>
      <c r="N632" s="122"/>
      <c r="V632" s="121"/>
    </row>
    <row r="633">
      <c r="H633" s="121"/>
      <c r="N633" s="122"/>
      <c r="V633" s="121"/>
    </row>
    <row r="634">
      <c r="H634" s="121"/>
      <c r="N634" s="122"/>
      <c r="V634" s="121"/>
    </row>
    <row r="635">
      <c r="H635" s="121"/>
      <c r="N635" s="122"/>
      <c r="V635" s="121"/>
    </row>
    <row r="636">
      <c r="H636" s="121"/>
      <c r="N636" s="122"/>
      <c r="V636" s="121"/>
    </row>
    <row r="637">
      <c r="H637" s="121"/>
      <c r="N637" s="122"/>
      <c r="V637" s="121"/>
    </row>
    <row r="638">
      <c r="H638" s="121"/>
      <c r="N638" s="122"/>
      <c r="V638" s="121"/>
    </row>
    <row r="639">
      <c r="H639" s="121"/>
      <c r="N639" s="122"/>
      <c r="V639" s="121"/>
    </row>
    <row r="640">
      <c r="H640" s="121"/>
      <c r="N640" s="122"/>
      <c r="V640" s="121"/>
    </row>
    <row r="641">
      <c r="H641" s="121"/>
      <c r="N641" s="122"/>
      <c r="V641" s="121"/>
    </row>
    <row r="642">
      <c r="H642" s="121"/>
      <c r="N642" s="122"/>
      <c r="V642" s="121"/>
    </row>
    <row r="643">
      <c r="H643" s="121"/>
      <c r="N643" s="122"/>
      <c r="V643" s="121"/>
    </row>
    <row r="644">
      <c r="H644" s="121"/>
      <c r="N644" s="122"/>
      <c r="V644" s="121"/>
    </row>
    <row r="645">
      <c r="H645" s="121"/>
      <c r="N645" s="122"/>
      <c r="V645" s="121"/>
    </row>
    <row r="646">
      <c r="H646" s="121"/>
      <c r="N646" s="122"/>
      <c r="V646" s="121"/>
    </row>
    <row r="647">
      <c r="H647" s="121"/>
      <c r="N647" s="122"/>
      <c r="V647" s="121"/>
    </row>
    <row r="648">
      <c r="H648" s="121"/>
      <c r="N648" s="122"/>
      <c r="V648" s="121"/>
    </row>
    <row r="649">
      <c r="H649" s="121"/>
      <c r="N649" s="122"/>
      <c r="V649" s="121"/>
    </row>
    <row r="650">
      <c r="H650" s="121"/>
      <c r="N650" s="122"/>
      <c r="V650" s="121"/>
    </row>
    <row r="651">
      <c r="H651" s="121"/>
      <c r="N651" s="122"/>
      <c r="V651" s="121"/>
    </row>
    <row r="652">
      <c r="H652" s="121"/>
      <c r="N652" s="122"/>
      <c r="V652" s="121"/>
    </row>
    <row r="653">
      <c r="H653" s="121"/>
      <c r="N653" s="122"/>
      <c r="V653" s="121"/>
    </row>
    <row r="654">
      <c r="H654" s="121"/>
      <c r="N654" s="122"/>
      <c r="V654" s="121"/>
    </row>
    <row r="655">
      <c r="H655" s="121"/>
      <c r="N655" s="122"/>
      <c r="V655" s="121"/>
    </row>
    <row r="656">
      <c r="H656" s="121"/>
      <c r="N656" s="122"/>
      <c r="V656" s="121"/>
    </row>
    <row r="657">
      <c r="H657" s="121"/>
      <c r="N657" s="122"/>
      <c r="V657" s="121"/>
    </row>
    <row r="658">
      <c r="H658" s="121"/>
      <c r="N658" s="122"/>
      <c r="V658" s="121"/>
    </row>
    <row r="659">
      <c r="H659" s="121"/>
      <c r="N659" s="122"/>
      <c r="V659" s="121"/>
    </row>
    <row r="660">
      <c r="H660" s="121"/>
      <c r="N660" s="122"/>
      <c r="V660" s="121"/>
    </row>
    <row r="661">
      <c r="H661" s="121"/>
      <c r="N661" s="122"/>
      <c r="V661" s="121"/>
    </row>
    <row r="662">
      <c r="H662" s="121"/>
      <c r="N662" s="122"/>
      <c r="V662" s="121"/>
    </row>
    <row r="663">
      <c r="H663" s="121"/>
      <c r="N663" s="122"/>
      <c r="V663" s="121"/>
    </row>
    <row r="664">
      <c r="H664" s="121"/>
      <c r="N664" s="122"/>
      <c r="V664" s="121"/>
    </row>
    <row r="665">
      <c r="H665" s="121"/>
      <c r="N665" s="122"/>
      <c r="V665" s="121"/>
    </row>
    <row r="666">
      <c r="H666" s="121"/>
      <c r="N666" s="122"/>
      <c r="V666" s="121"/>
    </row>
    <row r="667">
      <c r="H667" s="121"/>
      <c r="N667" s="122"/>
      <c r="V667" s="121"/>
    </row>
    <row r="668">
      <c r="H668" s="121"/>
      <c r="N668" s="122"/>
      <c r="V668" s="121"/>
    </row>
    <row r="669">
      <c r="H669" s="121"/>
      <c r="N669" s="122"/>
      <c r="V669" s="121"/>
    </row>
    <row r="670">
      <c r="H670" s="121"/>
      <c r="N670" s="122"/>
      <c r="V670" s="121"/>
    </row>
    <row r="671">
      <c r="H671" s="121"/>
      <c r="N671" s="122"/>
      <c r="V671" s="121"/>
    </row>
    <row r="672">
      <c r="H672" s="121"/>
      <c r="N672" s="122"/>
      <c r="V672" s="121"/>
    </row>
    <row r="673">
      <c r="H673" s="121"/>
      <c r="N673" s="122"/>
      <c r="V673" s="121"/>
    </row>
    <row r="674">
      <c r="H674" s="121"/>
      <c r="N674" s="122"/>
      <c r="V674" s="121"/>
    </row>
    <row r="675">
      <c r="H675" s="121"/>
      <c r="N675" s="122"/>
      <c r="V675" s="121"/>
    </row>
    <row r="676">
      <c r="H676" s="121"/>
      <c r="N676" s="122"/>
      <c r="V676" s="121"/>
    </row>
    <row r="677">
      <c r="H677" s="121"/>
      <c r="N677" s="122"/>
      <c r="V677" s="121"/>
    </row>
    <row r="678">
      <c r="H678" s="121"/>
      <c r="N678" s="122"/>
      <c r="V678" s="121"/>
    </row>
    <row r="679">
      <c r="H679" s="121"/>
      <c r="N679" s="122"/>
      <c r="V679" s="121"/>
    </row>
    <row r="680">
      <c r="H680" s="121"/>
      <c r="N680" s="122"/>
      <c r="V680" s="121"/>
    </row>
    <row r="681">
      <c r="H681" s="121"/>
      <c r="N681" s="122"/>
      <c r="V681" s="121"/>
    </row>
    <row r="682">
      <c r="H682" s="121"/>
      <c r="N682" s="122"/>
      <c r="V682" s="121"/>
    </row>
    <row r="683">
      <c r="H683" s="121"/>
      <c r="N683" s="122"/>
      <c r="V683" s="121"/>
    </row>
    <row r="684">
      <c r="H684" s="121"/>
      <c r="N684" s="122"/>
      <c r="V684" s="121"/>
    </row>
    <row r="685">
      <c r="H685" s="121"/>
      <c r="N685" s="122"/>
      <c r="V685" s="121"/>
    </row>
    <row r="686">
      <c r="H686" s="121"/>
      <c r="N686" s="122"/>
      <c r="V686" s="121"/>
    </row>
    <row r="687">
      <c r="H687" s="121"/>
      <c r="N687" s="122"/>
      <c r="V687" s="121"/>
    </row>
    <row r="688">
      <c r="H688" s="121"/>
      <c r="N688" s="122"/>
      <c r="V688" s="121"/>
    </row>
    <row r="689">
      <c r="H689" s="121"/>
      <c r="N689" s="122"/>
      <c r="V689" s="121"/>
    </row>
    <row r="690">
      <c r="H690" s="121"/>
      <c r="N690" s="122"/>
      <c r="V690" s="121"/>
    </row>
    <row r="691">
      <c r="H691" s="121"/>
      <c r="N691" s="122"/>
      <c r="V691" s="121"/>
    </row>
    <row r="692">
      <c r="H692" s="121"/>
      <c r="N692" s="122"/>
      <c r="V692" s="121"/>
    </row>
    <row r="693">
      <c r="H693" s="121"/>
      <c r="N693" s="122"/>
      <c r="V693" s="121"/>
    </row>
    <row r="694">
      <c r="H694" s="121"/>
      <c r="N694" s="122"/>
      <c r="V694" s="121"/>
    </row>
    <row r="695">
      <c r="H695" s="121"/>
      <c r="N695" s="122"/>
      <c r="V695" s="121"/>
    </row>
    <row r="696">
      <c r="H696" s="121"/>
      <c r="N696" s="122"/>
      <c r="V696" s="121"/>
    </row>
    <row r="697">
      <c r="H697" s="121"/>
      <c r="N697" s="122"/>
      <c r="V697" s="121"/>
    </row>
    <row r="698">
      <c r="H698" s="121"/>
      <c r="N698" s="122"/>
      <c r="V698" s="121"/>
    </row>
    <row r="699">
      <c r="H699" s="121"/>
      <c r="N699" s="122"/>
      <c r="V699" s="121"/>
    </row>
    <row r="700">
      <c r="H700" s="121"/>
      <c r="N700" s="122"/>
      <c r="V700" s="121"/>
    </row>
    <row r="701">
      <c r="H701" s="121"/>
      <c r="N701" s="122"/>
      <c r="V701" s="121"/>
    </row>
    <row r="702">
      <c r="H702" s="121"/>
      <c r="N702" s="122"/>
      <c r="V702" s="121"/>
    </row>
    <row r="703">
      <c r="H703" s="121"/>
      <c r="N703" s="122"/>
      <c r="V703" s="121"/>
    </row>
    <row r="704">
      <c r="H704" s="121"/>
      <c r="N704" s="122"/>
      <c r="V704" s="121"/>
    </row>
    <row r="705">
      <c r="H705" s="121"/>
      <c r="N705" s="122"/>
      <c r="V705" s="121"/>
    </row>
    <row r="706">
      <c r="H706" s="121"/>
      <c r="N706" s="122"/>
      <c r="V706" s="121"/>
    </row>
    <row r="707">
      <c r="H707" s="121"/>
      <c r="N707" s="122"/>
      <c r="V707" s="121"/>
    </row>
    <row r="708">
      <c r="H708" s="121"/>
      <c r="N708" s="122"/>
      <c r="V708" s="121"/>
    </row>
    <row r="709">
      <c r="H709" s="121"/>
      <c r="N709" s="122"/>
      <c r="V709" s="121"/>
    </row>
    <row r="710">
      <c r="H710" s="121"/>
      <c r="N710" s="122"/>
      <c r="V710" s="121"/>
    </row>
    <row r="711">
      <c r="H711" s="121"/>
      <c r="N711" s="122"/>
      <c r="V711" s="121"/>
    </row>
    <row r="712">
      <c r="H712" s="121"/>
      <c r="N712" s="122"/>
      <c r="V712" s="121"/>
    </row>
    <row r="713">
      <c r="H713" s="121"/>
      <c r="N713" s="122"/>
      <c r="V713" s="121"/>
    </row>
    <row r="714">
      <c r="H714" s="121"/>
      <c r="N714" s="122"/>
      <c r="V714" s="121"/>
    </row>
    <row r="715">
      <c r="H715" s="121"/>
      <c r="N715" s="122"/>
      <c r="V715" s="121"/>
    </row>
    <row r="716">
      <c r="H716" s="121"/>
      <c r="N716" s="122"/>
      <c r="V716" s="121"/>
    </row>
    <row r="717">
      <c r="H717" s="121"/>
      <c r="N717" s="122"/>
      <c r="V717" s="121"/>
    </row>
    <row r="718">
      <c r="H718" s="121"/>
      <c r="N718" s="122"/>
      <c r="V718" s="121"/>
    </row>
    <row r="719">
      <c r="H719" s="121"/>
      <c r="N719" s="122"/>
      <c r="V719" s="121"/>
    </row>
    <row r="720">
      <c r="H720" s="121"/>
      <c r="N720" s="122"/>
      <c r="V720" s="121"/>
    </row>
    <row r="721">
      <c r="H721" s="121"/>
      <c r="N721" s="122"/>
      <c r="V721" s="121"/>
    </row>
    <row r="722">
      <c r="H722" s="121"/>
      <c r="N722" s="122"/>
      <c r="V722" s="121"/>
    </row>
    <row r="723">
      <c r="H723" s="121"/>
      <c r="N723" s="122"/>
      <c r="V723" s="121"/>
    </row>
    <row r="724">
      <c r="H724" s="121"/>
      <c r="N724" s="122"/>
      <c r="V724" s="121"/>
    </row>
    <row r="725">
      <c r="H725" s="121"/>
      <c r="N725" s="122"/>
      <c r="V725" s="121"/>
    </row>
    <row r="726">
      <c r="H726" s="121"/>
      <c r="N726" s="122"/>
      <c r="V726" s="121"/>
    </row>
    <row r="727">
      <c r="H727" s="121"/>
      <c r="N727" s="122"/>
      <c r="V727" s="121"/>
    </row>
    <row r="728">
      <c r="H728" s="121"/>
      <c r="N728" s="122"/>
      <c r="V728" s="121"/>
    </row>
    <row r="729">
      <c r="H729" s="121"/>
      <c r="N729" s="122"/>
      <c r="V729" s="121"/>
    </row>
    <row r="730">
      <c r="H730" s="121"/>
      <c r="N730" s="122"/>
      <c r="V730" s="121"/>
    </row>
    <row r="731">
      <c r="H731" s="121"/>
      <c r="N731" s="122"/>
      <c r="V731" s="121"/>
    </row>
    <row r="732">
      <c r="H732" s="121"/>
      <c r="N732" s="122"/>
      <c r="V732" s="121"/>
    </row>
    <row r="733">
      <c r="H733" s="121"/>
      <c r="N733" s="122"/>
      <c r="V733" s="121"/>
    </row>
    <row r="734">
      <c r="H734" s="121"/>
      <c r="N734" s="122"/>
      <c r="V734" s="121"/>
    </row>
    <row r="735">
      <c r="H735" s="121"/>
      <c r="N735" s="122"/>
      <c r="V735" s="121"/>
    </row>
    <row r="736">
      <c r="H736" s="121"/>
      <c r="N736" s="122"/>
      <c r="V736" s="121"/>
    </row>
    <row r="737">
      <c r="H737" s="121"/>
      <c r="N737" s="122"/>
      <c r="V737" s="121"/>
    </row>
    <row r="738">
      <c r="H738" s="121"/>
      <c r="N738" s="122"/>
      <c r="V738" s="121"/>
    </row>
    <row r="739">
      <c r="H739" s="121"/>
      <c r="N739" s="122"/>
      <c r="V739" s="121"/>
    </row>
    <row r="740">
      <c r="H740" s="121"/>
      <c r="N740" s="122"/>
      <c r="V740" s="121"/>
    </row>
    <row r="741">
      <c r="H741" s="121"/>
      <c r="N741" s="122"/>
      <c r="V741" s="121"/>
    </row>
    <row r="742">
      <c r="H742" s="121"/>
      <c r="N742" s="122"/>
      <c r="V742" s="121"/>
    </row>
    <row r="743">
      <c r="H743" s="121"/>
      <c r="N743" s="122"/>
      <c r="V743" s="121"/>
    </row>
    <row r="744">
      <c r="H744" s="121"/>
      <c r="N744" s="122"/>
      <c r="V744" s="121"/>
    </row>
    <row r="745">
      <c r="H745" s="121"/>
      <c r="N745" s="122"/>
      <c r="V745" s="121"/>
    </row>
    <row r="746">
      <c r="H746" s="121"/>
      <c r="N746" s="122"/>
      <c r="V746" s="121"/>
    </row>
    <row r="747">
      <c r="H747" s="121"/>
      <c r="N747" s="122"/>
      <c r="V747" s="121"/>
    </row>
    <row r="748">
      <c r="H748" s="121"/>
      <c r="N748" s="122"/>
      <c r="V748" s="121"/>
    </row>
    <row r="749">
      <c r="H749" s="121"/>
      <c r="N749" s="122"/>
      <c r="V749" s="121"/>
    </row>
    <row r="750">
      <c r="H750" s="121"/>
      <c r="N750" s="122"/>
      <c r="V750" s="121"/>
    </row>
    <row r="751">
      <c r="H751" s="121"/>
      <c r="N751" s="122"/>
      <c r="V751" s="121"/>
    </row>
    <row r="752">
      <c r="H752" s="121"/>
      <c r="N752" s="122"/>
      <c r="V752" s="121"/>
    </row>
    <row r="753">
      <c r="H753" s="121"/>
      <c r="N753" s="122"/>
      <c r="V753" s="121"/>
    </row>
    <row r="754">
      <c r="H754" s="121"/>
      <c r="N754" s="122"/>
      <c r="V754" s="121"/>
    </row>
    <row r="755">
      <c r="H755" s="121"/>
      <c r="N755" s="122"/>
      <c r="V755" s="121"/>
    </row>
    <row r="756">
      <c r="H756" s="121"/>
      <c r="N756" s="122"/>
      <c r="V756" s="121"/>
    </row>
    <row r="757">
      <c r="H757" s="121"/>
      <c r="N757" s="122"/>
      <c r="V757" s="121"/>
    </row>
    <row r="758">
      <c r="H758" s="121"/>
      <c r="N758" s="122"/>
      <c r="V758" s="121"/>
    </row>
    <row r="759">
      <c r="H759" s="121"/>
      <c r="N759" s="122"/>
      <c r="V759" s="121"/>
    </row>
    <row r="760">
      <c r="H760" s="121"/>
      <c r="N760" s="122"/>
      <c r="V760" s="121"/>
    </row>
    <row r="761">
      <c r="H761" s="121"/>
      <c r="N761" s="122"/>
      <c r="V761" s="121"/>
    </row>
    <row r="762">
      <c r="H762" s="121"/>
      <c r="N762" s="122"/>
      <c r="V762" s="121"/>
    </row>
    <row r="763">
      <c r="H763" s="121"/>
      <c r="N763" s="122"/>
      <c r="V763" s="121"/>
    </row>
    <row r="764">
      <c r="H764" s="121"/>
      <c r="N764" s="122"/>
      <c r="V764" s="121"/>
    </row>
    <row r="765">
      <c r="H765" s="121"/>
      <c r="N765" s="122"/>
      <c r="V765" s="121"/>
    </row>
    <row r="766">
      <c r="H766" s="121"/>
      <c r="N766" s="122"/>
      <c r="V766" s="121"/>
    </row>
    <row r="767">
      <c r="H767" s="121"/>
      <c r="N767" s="122"/>
      <c r="V767" s="121"/>
    </row>
    <row r="768">
      <c r="H768" s="121"/>
      <c r="N768" s="122"/>
      <c r="V768" s="121"/>
    </row>
    <row r="769">
      <c r="H769" s="121"/>
      <c r="N769" s="122"/>
      <c r="V769" s="121"/>
    </row>
    <row r="770">
      <c r="H770" s="121"/>
      <c r="N770" s="122"/>
      <c r="V770" s="121"/>
    </row>
    <row r="771">
      <c r="H771" s="121"/>
      <c r="N771" s="122"/>
      <c r="V771" s="121"/>
    </row>
    <row r="772">
      <c r="H772" s="121"/>
      <c r="N772" s="122"/>
      <c r="V772" s="121"/>
    </row>
    <row r="773">
      <c r="H773" s="121"/>
      <c r="N773" s="122"/>
      <c r="V773" s="121"/>
    </row>
    <row r="774">
      <c r="H774" s="121"/>
      <c r="N774" s="122"/>
      <c r="V774" s="121"/>
    </row>
    <row r="775">
      <c r="H775" s="121"/>
      <c r="N775" s="122"/>
      <c r="V775" s="121"/>
    </row>
    <row r="776">
      <c r="H776" s="121"/>
      <c r="N776" s="122"/>
      <c r="V776" s="121"/>
    </row>
    <row r="777">
      <c r="H777" s="121"/>
      <c r="N777" s="122"/>
      <c r="V777" s="121"/>
    </row>
    <row r="778">
      <c r="H778" s="121"/>
      <c r="N778" s="122"/>
      <c r="V778" s="121"/>
    </row>
    <row r="779">
      <c r="H779" s="121"/>
      <c r="N779" s="122"/>
      <c r="V779" s="121"/>
    </row>
    <row r="780">
      <c r="H780" s="121"/>
      <c r="N780" s="122"/>
      <c r="V780" s="121"/>
    </row>
    <row r="781">
      <c r="H781" s="121"/>
      <c r="N781" s="122"/>
      <c r="V781" s="121"/>
    </row>
    <row r="782">
      <c r="H782" s="121"/>
      <c r="N782" s="122"/>
      <c r="V782" s="121"/>
    </row>
    <row r="783">
      <c r="H783" s="121"/>
      <c r="N783" s="122"/>
      <c r="V783" s="121"/>
    </row>
    <row r="784">
      <c r="H784" s="121"/>
      <c r="N784" s="122"/>
      <c r="V784" s="121"/>
    </row>
    <row r="785">
      <c r="H785" s="121"/>
      <c r="N785" s="122"/>
      <c r="V785" s="121"/>
    </row>
    <row r="786">
      <c r="H786" s="121"/>
      <c r="N786" s="122"/>
      <c r="V786" s="121"/>
    </row>
    <row r="787">
      <c r="H787" s="121"/>
      <c r="N787" s="122"/>
      <c r="V787" s="121"/>
    </row>
    <row r="788">
      <c r="H788" s="121"/>
      <c r="N788" s="122"/>
      <c r="V788" s="121"/>
    </row>
    <row r="789">
      <c r="H789" s="121"/>
      <c r="N789" s="122"/>
      <c r="V789" s="121"/>
    </row>
    <row r="790">
      <c r="H790" s="121"/>
      <c r="N790" s="122"/>
      <c r="V790" s="121"/>
    </row>
    <row r="791">
      <c r="H791" s="121"/>
      <c r="N791" s="122"/>
      <c r="V791" s="121"/>
    </row>
    <row r="792">
      <c r="H792" s="121"/>
      <c r="N792" s="122"/>
      <c r="V792" s="121"/>
    </row>
    <row r="793">
      <c r="H793" s="121"/>
      <c r="N793" s="122"/>
      <c r="V793" s="121"/>
    </row>
    <row r="794">
      <c r="H794" s="121"/>
      <c r="N794" s="122"/>
      <c r="V794" s="121"/>
    </row>
    <row r="795">
      <c r="H795" s="121"/>
      <c r="N795" s="122"/>
      <c r="V795" s="121"/>
    </row>
    <row r="796">
      <c r="H796" s="121"/>
      <c r="N796" s="122"/>
      <c r="V796" s="121"/>
    </row>
    <row r="797">
      <c r="H797" s="121"/>
      <c r="N797" s="122"/>
      <c r="V797" s="121"/>
    </row>
    <row r="798">
      <c r="H798" s="121"/>
      <c r="N798" s="122"/>
      <c r="V798" s="121"/>
    </row>
    <row r="799">
      <c r="H799" s="121"/>
      <c r="N799" s="122"/>
      <c r="V799" s="121"/>
    </row>
    <row r="800">
      <c r="H800" s="121"/>
      <c r="N800" s="122"/>
      <c r="V800" s="121"/>
    </row>
    <row r="801">
      <c r="H801" s="121"/>
      <c r="N801" s="122"/>
      <c r="V801" s="121"/>
    </row>
    <row r="802">
      <c r="H802" s="121"/>
      <c r="N802" s="122"/>
      <c r="V802" s="121"/>
    </row>
    <row r="803">
      <c r="H803" s="121"/>
      <c r="N803" s="122"/>
      <c r="V803" s="121"/>
    </row>
    <row r="804">
      <c r="H804" s="121"/>
      <c r="N804" s="122"/>
      <c r="V804" s="121"/>
    </row>
    <row r="805">
      <c r="H805" s="121"/>
      <c r="N805" s="122"/>
      <c r="V805" s="121"/>
    </row>
    <row r="806">
      <c r="H806" s="121"/>
      <c r="N806" s="122"/>
      <c r="V806" s="121"/>
    </row>
    <row r="807">
      <c r="H807" s="121"/>
      <c r="N807" s="122"/>
      <c r="V807" s="121"/>
    </row>
    <row r="808">
      <c r="H808" s="121"/>
      <c r="N808" s="122"/>
      <c r="V808" s="121"/>
    </row>
    <row r="809">
      <c r="H809" s="121"/>
      <c r="N809" s="122"/>
      <c r="V809" s="121"/>
    </row>
    <row r="810">
      <c r="H810" s="121"/>
      <c r="N810" s="122"/>
      <c r="V810" s="121"/>
    </row>
    <row r="811">
      <c r="H811" s="121"/>
      <c r="N811" s="122"/>
      <c r="V811" s="121"/>
    </row>
    <row r="812">
      <c r="H812" s="121"/>
      <c r="N812" s="122"/>
      <c r="V812" s="121"/>
    </row>
    <row r="813">
      <c r="H813" s="121"/>
      <c r="N813" s="122"/>
      <c r="V813" s="121"/>
    </row>
    <row r="814">
      <c r="H814" s="121"/>
      <c r="N814" s="122"/>
      <c r="V814" s="121"/>
    </row>
    <row r="815">
      <c r="H815" s="121"/>
      <c r="N815" s="122"/>
      <c r="V815" s="121"/>
    </row>
    <row r="816">
      <c r="H816" s="121"/>
      <c r="N816" s="122"/>
      <c r="V816" s="121"/>
    </row>
    <row r="817">
      <c r="H817" s="121"/>
      <c r="N817" s="122"/>
      <c r="V817" s="121"/>
    </row>
    <row r="818">
      <c r="H818" s="121"/>
      <c r="N818" s="122"/>
      <c r="V818" s="121"/>
    </row>
    <row r="819">
      <c r="H819" s="121"/>
      <c r="N819" s="122"/>
      <c r="V819" s="121"/>
    </row>
    <row r="820">
      <c r="H820" s="121"/>
      <c r="N820" s="122"/>
      <c r="V820" s="121"/>
    </row>
    <row r="821">
      <c r="H821" s="121"/>
      <c r="N821" s="122"/>
      <c r="V821" s="121"/>
    </row>
    <row r="822">
      <c r="H822" s="121"/>
      <c r="N822" s="122"/>
      <c r="V822" s="121"/>
    </row>
    <row r="823">
      <c r="H823" s="121"/>
      <c r="N823" s="122"/>
      <c r="V823" s="121"/>
    </row>
    <row r="824">
      <c r="H824" s="121"/>
      <c r="N824" s="122"/>
      <c r="V824" s="121"/>
    </row>
    <row r="825">
      <c r="H825" s="121"/>
      <c r="N825" s="122"/>
      <c r="V825" s="121"/>
    </row>
    <row r="826">
      <c r="H826" s="121"/>
      <c r="N826" s="122"/>
      <c r="V826" s="121"/>
    </row>
    <row r="827">
      <c r="H827" s="121"/>
      <c r="N827" s="122"/>
      <c r="V827" s="121"/>
    </row>
    <row r="828">
      <c r="H828" s="121"/>
      <c r="N828" s="122"/>
      <c r="V828" s="121"/>
    </row>
    <row r="829">
      <c r="H829" s="121"/>
      <c r="N829" s="122"/>
      <c r="V829" s="121"/>
    </row>
    <row r="830">
      <c r="H830" s="121"/>
      <c r="N830" s="122"/>
      <c r="V830" s="121"/>
    </row>
    <row r="831">
      <c r="H831" s="121"/>
      <c r="N831" s="122"/>
      <c r="V831" s="121"/>
    </row>
    <row r="832">
      <c r="H832" s="121"/>
      <c r="N832" s="122"/>
      <c r="V832" s="121"/>
    </row>
    <row r="833">
      <c r="H833" s="121"/>
      <c r="N833" s="122"/>
      <c r="V833" s="121"/>
    </row>
    <row r="834">
      <c r="H834" s="121"/>
      <c r="N834" s="122"/>
      <c r="V834" s="121"/>
    </row>
    <row r="835">
      <c r="H835" s="121"/>
      <c r="N835" s="122"/>
      <c r="V835" s="121"/>
    </row>
    <row r="836">
      <c r="H836" s="121"/>
      <c r="N836" s="122"/>
      <c r="V836" s="121"/>
    </row>
    <row r="837">
      <c r="H837" s="121"/>
      <c r="N837" s="122"/>
      <c r="V837" s="121"/>
    </row>
    <row r="838">
      <c r="H838" s="121"/>
      <c r="N838" s="122"/>
      <c r="V838" s="121"/>
    </row>
    <row r="839">
      <c r="H839" s="121"/>
      <c r="N839" s="122"/>
      <c r="V839" s="121"/>
    </row>
    <row r="840">
      <c r="H840" s="121"/>
      <c r="N840" s="122"/>
      <c r="V840" s="121"/>
    </row>
    <row r="841">
      <c r="H841" s="121"/>
      <c r="N841" s="122"/>
      <c r="V841" s="121"/>
    </row>
    <row r="842">
      <c r="H842" s="121"/>
      <c r="N842" s="122"/>
      <c r="V842" s="121"/>
    </row>
    <row r="843">
      <c r="H843" s="121"/>
      <c r="N843" s="122"/>
      <c r="V843" s="121"/>
    </row>
    <row r="844">
      <c r="H844" s="121"/>
      <c r="N844" s="122"/>
      <c r="V844" s="121"/>
    </row>
    <row r="845">
      <c r="H845" s="121"/>
      <c r="N845" s="122"/>
      <c r="V845" s="121"/>
    </row>
    <row r="846">
      <c r="H846" s="121"/>
      <c r="N846" s="122"/>
      <c r="V846" s="121"/>
    </row>
    <row r="847">
      <c r="H847" s="121"/>
      <c r="N847" s="122"/>
      <c r="V847" s="121"/>
    </row>
    <row r="848">
      <c r="H848" s="121"/>
      <c r="N848" s="122"/>
      <c r="V848" s="121"/>
    </row>
    <row r="849">
      <c r="H849" s="121"/>
      <c r="N849" s="122"/>
      <c r="V849" s="121"/>
    </row>
    <row r="850">
      <c r="H850" s="121"/>
      <c r="N850" s="122"/>
      <c r="V850" s="121"/>
    </row>
    <row r="851">
      <c r="H851" s="121"/>
      <c r="N851" s="122"/>
      <c r="V851" s="121"/>
    </row>
    <row r="852">
      <c r="H852" s="121"/>
      <c r="N852" s="122"/>
      <c r="V852" s="121"/>
    </row>
    <row r="853">
      <c r="H853" s="121"/>
      <c r="N853" s="122"/>
      <c r="V853" s="121"/>
    </row>
    <row r="854">
      <c r="H854" s="121"/>
      <c r="N854" s="122"/>
      <c r="V854" s="121"/>
    </row>
    <row r="855">
      <c r="H855" s="121"/>
      <c r="N855" s="122"/>
      <c r="V855" s="121"/>
    </row>
    <row r="856">
      <c r="H856" s="121"/>
      <c r="N856" s="122"/>
      <c r="V856" s="121"/>
    </row>
    <row r="857">
      <c r="H857" s="121"/>
      <c r="N857" s="122"/>
      <c r="V857" s="121"/>
    </row>
    <row r="858">
      <c r="H858" s="121"/>
      <c r="N858" s="122"/>
      <c r="V858" s="121"/>
    </row>
    <row r="859">
      <c r="H859" s="121"/>
      <c r="N859" s="122"/>
      <c r="V859" s="121"/>
    </row>
    <row r="860">
      <c r="H860" s="121"/>
      <c r="N860" s="122"/>
      <c r="V860" s="121"/>
    </row>
    <row r="861">
      <c r="H861" s="121"/>
      <c r="N861" s="122"/>
      <c r="V861" s="121"/>
    </row>
    <row r="862">
      <c r="H862" s="121"/>
      <c r="N862" s="122"/>
      <c r="V862" s="121"/>
    </row>
    <row r="863">
      <c r="H863" s="121"/>
      <c r="N863" s="122"/>
      <c r="V863" s="121"/>
    </row>
    <row r="864">
      <c r="H864" s="121"/>
      <c r="N864" s="122"/>
      <c r="V864" s="121"/>
    </row>
    <row r="865">
      <c r="H865" s="121"/>
      <c r="N865" s="122"/>
      <c r="V865" s="121"/>
    </row>
    <row r="866">
      <c r="H866" s="121"/>
      <c r="N866" s="122"/>
      <c r="V866" s="121"/>
    </row>
    <row r="867">
      <c r="H867" s="121"/>
      <c r="N867" s="122"/>
      <c r="V867" s="121"/>
    </row>
    <row r="868">
      <c r="H868" s="121"/>
      <c r="N868" s="122"/>
      <c r="V868" s="121"/>
    </row>
    <row r="869">
      <c r="H869" s="121"/>
      <c r="N869" s="122"/>
      <c r="V869" s="121"/>
    </row>
    <row r="870">
      <c r="H870" s="121"/>
      <c r="N870" s="122"/>
      <c r="V870" s="121"/>
    </row>
    <row r="871">
      <c r="H871" s="121"/>
      <c r="N871" s="122"/>
      <c r="V871" s="121"/>
    </row>
    <row r="872">
      <c r="H872" s="121"/>
      <c r="N872" s="122"/>
      <c r="V872" s="121"/>
    </row>
    <row r="873">
      <c r="H873" s="121"/>
      <c r="N873" s="122"/>
      <c r="V873" s="121"/>
    </row>
    <row r="874">
      <c r="H874" s="121"/>
      <c r="N874" s="122"/>
      <c r="V874" s="121"/>
    </row>
    <row r="875">
      <c r="H875" s="121"/>
      <c r="N875" s="122"/>
      <c r="V875" s="121"/>
    </row>
    <row r="876">
      <c r="H876" s="121"/>
      <c r="N876" s="122"/>
      <c r="V876" s="121"/>
    </row>
    <row r="877">
      <c r="H877" s="121"/>
      <c r="N877" s="122"/>
      <c r="V877" s="121"/>
    </row>
    <row r="878">
      <c r="H878" s="121"/>
      <c r="N878" s="122"/>
      <c r="V878" s="121"/>
    </row>
    <row r="879">
      <c r="H879" s="121"/>
      <c r="N879" s="122"/>
      <c r="V879" s="121"/>
    </row>
    <row r="880">
      <c r="H880" s="121"/>
      <c r="N880" s="122"/>
      <c r="V880" s="121"/>
    </row>
    <row r="881">
      <c r="H881" s="121"/>
      <c r="N881" s="122"/>
      <c r="V881" s="121"/>
    </row>
    <row r="882">
      <c r="H882" s="121"/>
      <c r="N882" s="122"/>
      <c r="V882" s="121"/>
    </row>
    <row r="883">
      <c r="H883" s="121"/>
      <c r="N883" s="122"/>
      <c r="V883" s="121"/>
    </row>
    <row r="884">
      <c r="H884" s="121"/>
      <c r="N884" s="122"/>
      <c r="V884" s="121"/>
    </row>
    <row r="885">
      <c r="H885" s="121"/>
      <c r="N885" s="122"/>
      <c r="V885" s="121"/>
    </row>
    <row r="886">
      <c r="H886" s="121"/>
      <c r="N886" s="122"/>
      <c r="V886" s="121"/>
    </row>
    <row r="887">
      <c r="H887" s="121"/>
      <c r="N887" s="122"/>
      <c r="V887" s="121"/>
    </row>
    <row r="888">
      <c r="H888" s="121"/>
      <c r="N888" s="122"/>
      <c r="V888" s="121"/>
    </row>
    <row r="889">
      <c r="H889" s="121"/>
      <c r="N889" s="122"/>
      <c r="V889" s="121"/>
    </row>
    <row r="890">
      <c r="H890" s="121"/>
      <c r="N890" s="122"/>
      <c r="V890" s="121"/>
    </row>
    <row r="891">
      <c r="H891" s="121"/>
      <c r="N891" s="122"/>
      <c r="V891" s="121"/>
    </row>
    <row r="892">
      <c r="H892" s="121"/>
      <c r="N892" s="122"/>
      <c r="V892" s="121"/>
    </row>
    <row r="893">
      <c r="H893" s="121"/>
      <c r="N893" s="122"/>
      <c r="V893" s="121"/>
    </row>
    <row r="894">
      <c r="H894" s="121"/>
      <c r="N894" s="122"/>
      <c r="V894" s="121"/>
    </row>
    <row r="895">
      <c r="H895" s="121"/>
      <c r="N895" s="122"/>
      <c r="V895" s="121"/>
    </row>
    <row r="896">
      <c r="H896" s="121"/>
      <c r="N896" s="122"/>
      <c r="V896" s="121"/>
    </row>
    <row r="897">
      <c r="H897" s="121"/>
      <c r="N897" s="122"/>
      <c r="V897" s="121"/>
    </row>
    <row r="898">
      <c r="H898" s="121"/>
      <c r="N898" s="122"/>
      <c r="V898" s="121"/>
    </row>
    <row r="899">
      <c r="H899" s="121"/>
      <c r="N899" s="122"/>
      <c r="V899" s="121"/>
    </row>
    <row r="900">
      <c r="H900" s="121"/>
      <c r="N900" s="122"/>
      <c r="V900" s="121"/>
    </row>
    <row r="901">
      <c r="H901" s="121"/>
      <c r="N901" s="122"/>
      <c r="V901" s="121"/>
    </row>
    <row r="902">
      <c r="H902" s="121"/>
      <c r="N902" s="122"/>
      <c r="V902" s="121"/>
    </row>
    <row r="903">
      <c r="H903" s="121"/>
      <c r="N903" s="122"/>
      <c r="V903" s="121"/>
    </row>
    <row r="904">
      <c r="H904" s="121"/>
      <c r="N904" s="122"/>
      <c r="V904" s="121"/>
    </row>
    <row r="905">
      <c r="H905" s="121"/>
      <c r="N905" s="122"/>
      <c r="V905" s="121"/>
    </row>
    <row r="906">
      <c r="H906" s="121"/>
      <c r="N906" s="122"/>
      <c r="V906" s="121"/>
    </row>
    <row r="907">
      <c r="H907" s="121"/>
      <c r="N907" s="122"/>
      <c r="V907" s="121"/>
    </row>
    <row r="908">
      <c r="H908" s="121"/>
      <c r="N908" s="122"/>
      <c r="V908" s="121"/>
    </row>
    <row r="909">
      <c r="H909" s="121"/>
      <c r="N909" s="122"/>
      <c r="V909" s="121"/>
    </row>
    <row r="910">
      <c r="H910" s="121"/>
      <c r="N910" s="122"/>
      <c r="V910" s="121"/>
    </row>
    <row r="911">
      <c r="H911" s="121"/>
      <c r="N911" s="122"/>
      <c r="V911" s="121"/>
    </row>
    <row r="912">
      <c r="H912" s="121"/>
      <c r="N912" s="122"/>
      <c r="V912" s="121"/>
    </row>
    <row r="913">
      <c r="H913" s="121"/>
      <c r="N913" s="122"/>
      <c r="V913" s="121"/>
    </row>
    <row r="914">
      <c r="H914" s="121"/>
      <c r="N914" s="122"/>
      <c r="V914" s="121"/>
    </row>
    <row r="915">
      <c r="H915" s="121"/>
      <c r="N915" s="122"/>
      <c r="V915" s="121"/>
    </row>
    <row r="916">
      <c r="H916" s="121"/>
      <c r="N916" s="122"/>
      <c r="V916" s="121"/>
    </row>
    <row r="917">
      <c r="H917" s="121"/>
      <c r="N917" s="122"/>
      <c r="V917" s="121"/>
    </row>
    <row r="918">
      <c r="H918" s="121"/>
      <c r="N918" s="122"/>
      <c r="V918" s="121"/>
    </row>
    <row r="919">
      <c r="H919" s="121"/>
      <c r="N919" s="122"/>
      <c r="V919" s="121"/>
    </row>
    <row r="920">
      <c r="H920" s="121"/>
      <c r="N920" s="122"/>
      <c r="V920" s="121"/>
    </row>
    <row r="921">
      <c r="H921" s="121"/>
      <c r="N921" s="122"/>
      <c r="V921" s="121"/>
    </row>
    <row r="922">
      <c r="H922" s="121"/>
      <c r="N922" s="122"/>
      <c r="V922" s="121"/>
    </row>
    <row r="923">
      <c r="H923" s="121"/>
      <c r="N923" s="122"/>
      <c r="V923" s="121"/>
    </row>
    <row r="924">
      <c r="H924" s="121"/>
      <c r="N924" s="122"/>
      <c r="V924" s="121"/>
    </row>
    <row r="925">
      <c r="H925" s="121"/>
      <c r="N925" s="122"/>
      <c r="V925" s="121"/>
    </row>
    <row r="926">
      <c r="H926" s="121"/>
      <c r="N926" s="122"/>
      <c r="V926" s="121"/>
    </row>
    <row r="927">
      <c r="H927" s="121"/>
      <c r="N927" s="122"/>
      <c r="V927" s="121"/>
    </row>
    <row r="928">
      <c r="H928" s="121"/>
      <c r="N928" s="122"/>
      <c r="V928" s="121"/>
    </row>
    <row r="929">
      <c r="H929" s="121"/>
      <c r="N929" s="122"/>
      <c r="V929" s="121"/>
    </row>
    <row r="930">
      <c r="H930" s="121"/>
      <c r="N930" s="122"/>
      <c r="V930" s="121"/>
    </row>
    <row r="931">
      <c r="H931" s="121"/>
      <c r="N931" s="122"/>
      <c r="V931" s="121"/>
    </row>
    <row r="932">
      <c r="H932" s="121"/>
      <c r="N932" s="122"/>
      <c r="V932" s="121"/>
    </row>
    <row r="933">
      <c r="H933" s="121"/>
      <c r="N933" s="122"/>
      <c r="V933" s="121"/>
    </row>
    <row r="934">
      <c r="H934" s="121"/>
      <c r="N934" s="122"/>
      <c r="V934" s="121"/>
    </row>
    <row r="935">
      <c r="H935" s="121"/>
      <c r="N935" s="122"/>
      <c r="V935" s="121"/>
    </row>
    <row r="936">
      <c r="H936" s="121"/>
      <c r="N936" s="122"/>
      <c r="V936" s="121"/>
    </row>
    <row r="937">
      <c r="H937" s="121"/>
      <c r="N937" s="122"/>
      <c r="V937" s="121"/>
    </row>
    <row r="938">
      <c r="H938" s="121"/>
      <c r="N938" s="122"/>
      <c r="V938" s="121"/>
    </row>
    <row r="939">
      <c r="H939" s="121"/>
      <c r="N939" s="122"/>
      <c r="V939" s="121"/>
    </row>
    <row r="940">
      <c r="H940" s="121"/>
      <c r="N940" s="122"/>
      <c r="V940" s="121"/>
    </row>
    <row r="941">
      <c r="H941" s="121"/>
      <c r="N941" s="122"/>
      <c r="V941" s="121"/>
    </row>
    <row r="942">
      <c r="H942" s="121"/>
      <c r="N942" s="122"/>
      <c r="V942" s="121"/>
    </row>
    <row r="943">
      <c r="H943" s="121"/>
      <c r="N943" s="122"/>
      <c r="V943" s="121"/>
    </row>
    <row r="944">
      <c r="H944" s="121"/>
      <c r="N944" s="122"/>
      <c r="V944" s="121"/>
    </row>
    <row r="945">
      <c r="H945" s="121"/>
      <c r="N945" s="122"/>
      <c r="V945" s="121"/>
    </row>
    <row r="946">
      <c r="H946" s="121"/>
      <c r="N946" s="122"/>
      <c r="V946" s="121"/>
    </row>
    <row r="947">
      <c r="H947" s="121"/>
      <c r="N947" s="122"/>
      <c r="V947" s="121"/>
    </row>
    <row r="948">
      <c r="H948" s="121"/>
      <c r="N948" s="122"/>
      <c r="V948" s="121"/>
    </row>
    <row r="949">
      <c r="H949" s="121"/>
      <c r="N949" s="122"/>
      <c r="V949" s="121"/>
    </row>
    <row r="950">
      <c r="H950" s="121"/>
      <c r="N950" s="122"/>
      <c r="V950" s="121"/>
    </row>
    <row r="951">
      <c r="H951" s="121"/>
      <c r="N951" s="122"/>
      <c r="V951" s="121"/>
    </row>
    <row r="952">
      <c r="H952" s="121"/>
      <c r="N952" s="122"/>
      <c r="V952" s="121"/>
    </row>
    <row r="953">
      <c r="H953" s="121"/>
      <c r="N953" s="122"/>
      <c r="V953" s="121"/>
    </row>
    <row r="954">
      <c r="H954" s="121"/>
      <c r="N954" s="122"/>
      <c r="V954" s="121"/>
    </row>
    <row r="955">
      <c r="H955" s="121"/>
      <c r="N955" s="122"/>
      <c r="V955" s="121"/>
    </row>
    <row r="956">
      <c r="H956" s="121"/>
      <c r="N956" s="122"/>
      <c r="V956" s="121"/>
    </row>
    <row r="957">
      <c r="H957" s="121"/>
      <c r="N957" s="122"/>
      <c r="V957" s="121"/>
    </row>
    <row r="958">
      <c r="H958" s="121"/>
      <c r="N958" s="122"/>
      <c r="V958" s="121"/>
    </row>
    <row r="959">
      <c r="H959" s="121"/>
      <c r="N959" s="122"/>
      <c r="V959" s="121"/>
    </row>
    <row r="960">
      <c r="H960" s="121"/>
      <c r="N960" s="122"/>
      <c r="V960" s="121"/>
    </row>
    <row r="961">
      <c r="H961" s="121"/>
      <c r="N961" s="122"/>
      <c r="V961" s="121"/>
    </row>
    <row r="962">
      <c r="H962" s="121"/>
      <c r="N962" s="122"/>
      <c r="V962" s="121"/>
    </row>
    <row r="963">
      <c r="H963" s="121"/>
      <c r="N963" s="122"/>
      <c r="V963" s="121"/>
    </row>
    <row r="964">
      <c r="H964" s="121"/>
      <c r="N964" s="122"/>
      <c r="V964" s="121"/>
    </row>
    <row r="965">
      <c r="H965" s="121"/>
      <c r="N965" s="122"/>
      <c r="V965" s="121"/>
    </row>
    <row r="966">
      <c r="H966" s="121"/>
      <c r="N966" s="122"/>
      <c r="V966" s="121"/>
    </row>
    <row r="967">
      <c r="H967" s="121"/>
      <c r="N967" s="122"/>
      <c r="V967" s="121"/>
    </row>
    <row r="968">
      <c r="H968" s="121"/>
      <c r="N968" s="122"/>
      <c r="V968" s="121"/>
    </row>
    <row r="969">
      <c r="H969" s="121"/>
      <c r="N969" s="122"/>
      <c r="V969" s="121"/>
    </row>
    <row r="970">
      <c r="H970" s="121"/>
      <c r="N970" s="122"/>
      <c r="V970" s="121"/>
    </row>
    <row r="971">
      <c r="H971" s="121"/>
      <c r="N971" s="122"/>
      <c r="V971" s="121"/>
    </row>
    <row r="972">
      <c r="H972" s="121"/>
      <c r="N972" s="122"/>
      <c r="V972" s="121"/>
    </row>
    <row r="973">
      <c r="H973" s="121"/>
      <c r="N973" s="122"/>
      <c r="V973" s="121"/>
    </row>
    <row r="974">
      <c r="H974" s="121"/>
      <c r="N974" s="122"/>
      <c r="V974" s="121"/>
    </row>
    <row r="975">
      <c r="H975" s="121"/>
      <c r="N975" s="122"/>
      <c r="V975" s="121"/>
    </row>
    <row r="976">
      <c r="H976" s="121"/>
      <c r="N976" s="122"/>
      <c r="V976" s="121"/>
    </row>
    <row r="977">
      <c r="H977" s="121"/>
      <c r="N977" s="122"/>
      <c r="V977" s="121"/>
    </row>
    <row r="978">
      <c r="H978" s="121"/>
      <c r="N978" s="122"/>
      <c r="V978" s="121"/>
    </row>
    <row r="979">
      <c r="H979" s="121"/>
      <c r="N979" s="122"/>
      <c r="V979" s="121"/>
    </row>
    <row r="980">
      <c r="H980" s="121"/>
      <c r="N980" s="122"/>
      <c r="V980" s="121"/>
    </row>
    <row r="981">
      <c r="H981" s="121"/>
      <c r="N981" s="122"/>
      <c r="V981" s="121"/>
    </row>
    <row r="982">
      <c r="H982" s="121"/>
      <c r="N982" s="122"/>
      <c r="V982" s="121"/>
    </row>
    <row r="983">
      <c r="H983" s="121"/>
      <c r="N983" s="122"/>
      <c r="V983" s="121"/>
    </row>
    <row r="984">
      <c r="H984" s="121"/>
      <c r="N984" s="122"/>
      <c r="V984" s="121"/>
    </row>
    <row r="985">
      <c r="H985" s="121"/>
      <c r="N985" s="122"/>
      <c r="V985" s="121"/>
    </row>
    <row r="986">
      <c r="H986" s="121"/>
      <c r="N986" s="122"/>
      <c r="V986" s="121"/>
    </row>
    <row r="987">
      <c r="H987" s="121"/>
      <c r="N987" s="122"/>
      <c r="V987" s="121"/>
    </row>
    <row r="988">
      <c r="H988" s="121"/>
      <c r="N988" s="122"/>
      <c r="V988" s="121"/>
    </row>
    <row r="989">
      <c r="H989" s="121"/>
      <c r="N989" s="122"/>
      <c r="V989" s="121"/>
    </row>
    <row r="990">
      <c r="H990" s="121"/>
      <c r="N990" s="122"/>
      <c r="V990" s="121"/>
    </row>
    <row r="991">
      <c r="H991" s="121"/>
      <c r="N991" s="122"/>
      <c r="V991" s="121"/>
    </row>
    <row r="992">
      <c r="H992" s="121"/>
      <c r="N992" s="122"/>
      <c r="V992" s="121"/>
    </row>
    <row r="993">
      <c r="H993" s="121"/>
      <c r="N993" s="122"/>
      <c r="V993" s="121"/>
    </row>
    <row r="994">
      <c r="H994" s="121"/>
      <c r="N994" s="122"/>
      <c r="V994" s="121"/>
    </row>
    <row r="995">
      <c r="H995" s="121"/>
      <c r="N995" s="122"/>
      <c r="V995" s="121"/>
    </row>
    <row r="996">
      <c r="H996" s="121"/>
      <c r="N996" s="122"/>
      <c r="V996" s="121"/>
    </row>
    <row r="997">
      <c r="H997" s="121"/>
      <c r="N997" s="122"/>
      <c r="V997" s="121"/>
    </row>
    <row r="998">
      <c r="H998" s="121"/>
      <c r="N998" s="122"/>
      <c r="V998" s="121"/>
    </row>
    <row r="999">
      <c r="H999" s="121"/>
      <c r="N999" s="122"/>
      <c r="V999" s="121"/>
    </row>
    <row r="1000">
      <c r="H1000" s="121"/>
      <c r="N1000" s="122"/>
      <c r="V1000" s="121"/>
    </row>
  </sheetData>
  <conditionalFormatting sqref="A275">
    <cfRule type="cellIs" dxfId="0" priority="1" operator="greaterThanOrEqual">
      <formula>5</formula>
    </cfRule>
  </conditionalFormatting>
  <conditionalFormatting sqref="G276:G538">
    <cfRule type="cellIs" dxfId="0" priority="2" operator="greaterThanOrEqual">
      <formula>"$72,790,219"</formula>
    </cfRule>
  </conditionalFormatting>
  <conditionalFormatting sqref="G276:G538">
    <cfRule type="cellIs" dxfId="1" priority="3" operator="lessThanOrEqual">
      <formula>430500</formula>
    </cfRule>
  </conditionalFormatting>
  <conditionalFormatting sqref="H1:H263">
    <cfRule type="cellIs" dxfId="1" priority="4" operator="greaterThanOrEqual">
      <formula>10000000</formula>
    </cfRule>
  </conditionalFormatting>
  <conditionalFormatting sqref="N1:N263">
    <cfRule type="cellIs" dxfId="1" priority="5" operator="equal">
      <formula>0</formula>
    </cfRule>
  </conditionalFormatting>
  <drawing r:id="rId1"/>
</worksheet>
</file>